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gelogodbey/Downloads/"/>
    </mc:Choice>
  </mc:AlternateContent>
  <xr:revisionPtr revIDLastSave="0" documentId="13_ncr:1_{2CCDACFC-156E-C845-94ED-6B349245BB00}" xr6:coauthVersionLast="45" xr6:coauthVersionMax="45" xr10:uidLastSave="{00000000-0000-0000-0000-000000000000}"/>
  <bookViews>
    <workbookView xWindow="0" yWindow="460" windowWidth="34200" windowHeight="21940" tabRatio="500" activeTab="1" xr2:uid="{00000000-000D-0000-FFFF-FFFF00000000}"/>
  </bookViews>
  <sheets>
    <sheet name="Input by weight" sheetId="6" r:id="rId1"/>
    <sheet name="Input by unit count" sheetId="7" r:id="rId2"/>
    <sheet name="Data Sources" sheetId="4" r:id="rId3"/>
  </sheets>
  <definedNames>
    <definedName name="crt_count">'Input by unit count'!$D$29</definedName>
    <definedName name="crt_kg">'Input by unit count'!$C$45</definedName>
    <definedName name="crt_weight">'Input by weight'!$D$28</definedName>
    <definedName name="crt_weight_2">'Input by unit count'!$C$44</definedName>
    <definedName name="desktop_count">'Input by unit count'!$D$53</definedName>
    <definedName name="desktop_kg">'Input by unit count'!$C$69</definedName>
    <definedName name="ds_weight">'Input by weight'!$D$52</definedName>
    <definedName name="ds_weight_2">'Input by unit count'!$C$68</definedName>
    <definedName name="flat_count">'Input by unit count'!$D$77</definedName>
    <definedName name="flat_kg">'Input by unit count'!$C$93</definedName>
    <definedName name="hdd_weight">'Input by weight'!$D$124</definedName>
    <definedName name="hdd_weight_2">'Input by unit count'!$C$164</definedName>
    <definedName name="image_weight">'Input by weight'!$D$148</definedName>
    <definedName name="image_weight_2">'Input by unit count'!$C$140</definedName>
    <definedName name="laptop_count">'Input by unit count'!$D$5</definedName>
    <definedName name="laptop_kg">'Input by unit count'!$C$21</definedName>
    <definedName name="laptop_weight">'Input by weight'!$D$4</definedName>
    <definedName name="laptop_weight_2">'Input by unit count'!$C$20</definedName>
    <definedName name="lcd_weight">'Input by weight'!$D$76</definedName>
    <definedName name="lcd_weight_2">'Input by unit count'!$C$92</definedName>
    <definedName name="mobile_count">'Input by unit count'!$D$101</definedName>
    <definedName name="mobile_kg">'Input by unit count'!$C$117</definedName>
    <definedName name="mobile_weight">'Input by weight'!$D$100</definedName>
    <definedName name="mobile_weight_2">'Input by unit count'!$C$116</definedName>
    <definedName name="other_count">'Input by unit count'!$D$173</definedName>
    <definedName name="other_kg">'Input by unit count'!$C$189</definedName>
    <definedName name="other_weight">'Input by weight'!$D$172</definedName>
    <definedName name="other_weight_2">'Input by unit count'!$C$188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9" i="6" l="1"/>
  <c r="D217" i="6"/>
  <c r="D220" i="7"/>
  <c r="D219" i="7"/>
  <c r="D218" i="7"/>
  <c r="D216" i="7"/>
  <c r="D215" i="7"/>
  <c r="C220" i="7"/>
  <c r="C219" i="7"/>
  <c r="C217" i="7"/>
  <c r="C215" i="7"/>
  <c r="F153" i="7"/>
  <c r="C168" i="7"/>
  <c r="D211" i="7"/>
  <c r="C21" i="7"/>
  <c r="C20" i="7"/>
  <c r="C22" i="7"/>
  <c r="C46" i="7"/>
  <c r="C70" i="7"/>
  <c r="C94" i="7"/>
  <c r="C118" i="7"/>
  <c r="C142" i="7"/>
  <c r="C166" i="7"/>
  <c r="C190" i="7"/>
  <c r="C165" i="7"/>
  <c r="C164" i="7"/>
  <c r="F13" i="7"/>
  <c r="F14" i="7"/>
  <c r="F15" i="7"/>
  <c r="D217" i="7"/>
  <c r="F16" i="7"/>
  <c r="F17" i="7"/>
  <c r="F18" i="7"/>
  <c r="D214" i="7"/>
  <c r="E13" i="7"/>
  <c r="E14" i="7"/>
  <c r="C216" i="7"/>
  <c r="E15" i="7"/>
  <c r="E16" i="7"/>
  <c r="C218" i="7"/>
  <c r="E17" i="7"/>
  <c r="E18" i="7"/>
  <c r="C214" i="7"/>
  <c r="F9" i="7"/>
  <c r="F10" i="7"/>
  <c r="F11" i="7"/>
  <c r="F12" i="7"/>
  <c r="C24" i="7"/>
  <c r="F7" i="7"/>
  <c r="F8" i="7"/>
  <c r="C26" i="7"/>
  <c r="D212" i="7"/>
  <c r="E9" i="7"/>
  <c r="E10" i="7"/>
  <c r="E11" i="7"/>
  <c r="E12" i="7"/>
  <c r="C23" i="7"/>
  <c r="E153" i="7"/>
  <c r="C167" i="7"/>
  <c r="C211" i="7"/>
  <c r="C139" i="6"/>
  <c r="F126" i="6"/>
  <c r="F151" i="7"/>
  <c r="F162" i="7"/>
  <c r="C161" i="7"/>
  <c r="F161" i="7"/>
  <c r="C160" i="7"/>
  <c r="F160" i="7"/>
  <c r="F159" i="7"/>
  <c r="C158" i="7"/>
  <c r="F158" i="7"/>
  <c r="C157" i="7"/>
  <c r="F157" i="7"/>
  <c r="F152" i="7"/>
  <c r="C170" i="7"/>
  <c r="E151" i="7"/>
  <c r="E152" i="7"/>
  <c r="C169" i="7"/>
  <c r="F154" i="7"/>
  <c r="F155" i="7"/>
  <c r="F156" i="7"/>
  <c r="E154" i="7"/>
  <c r="E155" i="7"/>
  <c r="E156" i="7"/>
  <c r="C117" i="7"/>
  <c r="E162" i="7"/>
  <c r="E161" i="7"/>
  <c r="E160" i="7"/>
  <c r="E159" i="7"/>
  <c r="E158" i="7"/>
  <c r="E157" i="7"/>
  <c r="C141" i="7"/>
  <c r="C140" i="7"/>
  <c r="C181" i="7"/>
  <c r="C19" i="6"/>
  <c r="C20" i="6"/>
  <c r="F17" i="6"/>
  <c r="F137" i="6"/>
  <c r="D220" i="6"/>
  <c r="C140" i="6"/>
  <c r="F135" i="6"/>
  <c r="F15" i="6"/>
  <c r="D218" i="6"/>
  <c r="F133" i="6"/>
  <c r="F13" i="6"/>
  <c r="D216" i="6"/>
  <c r="E17" i="6"/>
  <c r="E137" i="6"/>
  <c r="C220" i="6"/>
  <c r="F136" i="6"/>
  <c r="E136" i="6"/>
  <c r="F16" i="6"/>
  <c r="E16" i="6"/>
  <c r="C219" i="6"/>
  <c r="E135" i="6"/>
  <c r="E15" i="6"/>
  <c r="C218" i="6"/>
  <c r="F134" i="6"/>
  <c r="E134" i="6"/>
  <c r="F14" i="6"/>
  <c r="E14" i="6"/>
  <c r="C217" i="6"/>
  <c r="E133" i="6"/>
  <c r="E13" i="6"/>
  <c r="C216" i="6"/>
  <c r="F132" i="6"/>
  <c r="F12" i="6"/>
  <c r="D215" i="6"/>
  <c r="E132" i="6"/>
  <c r="E12" i="6"/>
  <c r="C215" i="6"/>
  <c r="F127" i="6"/>
  <c r="C145" i="6"/>
  <c r="F6" i="6"/>
  <c r="F7" i="6"/>
  <c r="C25" i="6"/>
  <c r="D212" i="6"/>
  <c r="E127" i="6"/>
  <c r="C144" i="6"/>
  <c r="E7" i="6"/>
  <c r="E6" i="6"/>
  <c r="C24" i="6"/>
  <c r="C212" i="6"/>
  <c r="F128" i="6"/>
  <c r="F129" i="6"/>
  <c r="F130" i="6"/>
  <c r="F131" i="6"/>
  <c r="C143" i="6"/>
  <c r="F8" i="6"/>
  <c r="F9" i="6"/>
  <c r="F10" i="6"/>
  <c r="F11" i="6"/>
  <c r="C23" i="6"/>
  <c r="D211" i="6"/>
  <c r="C21" i="6"/>
  <c r="E128" i="6"/>
  <c r="E129" i="6"/>
  <c r="E130" i="6"/>
  <c r="E131" i="6"/>
  <c r="C142" i="6"/>
  <c r="E8" i="6"/>
  <c r="E9" i="6"/>
  <c r="E10" i="6"/>
  <c r="E11" i="6"/>
  <c r="C22" i="6"/>
  <c r="C211" i="6"/>
  <c r="C69" i="6"/>
  <c r="C45" i="6"/>
  <c r="C93" i="6"/>
  <c r="C117" i="6"/>
  <c r="C141" i="6"/>
  <c r="C165" i="6"/>
  <c r="C189" i="6"/>
  <c r="C132" i="6"/>
  <c r="C133" i="6"/>
  <c r="C135" i="6"/>
  <c r="C136" i="6"/>
  <c r="C187" i="6"/>
  <c r="C163" i="6"/>
  <c r="C164" i="6"/>
  <c r="E126" i="6"/>
  <c r="F178" i="7"/>
  <c r="F179" i="7"/>
  <c r="F180" i="7"/>
  <c r="F181" i="7"/>
  <c r="F182" i="7"/>
  <c r="F183" i="7"/>
  <c r="F184" i="7"/>
  <c r="C185" i="7"/>
  <c r="F185" i="7"/>
  <c r="F186" i="7"/>
  <c r="F177" i="7"/>
  <c r="C189" i="7"/>
  <c r="F175" i="7"/>
  <c r="C106" i="7"/>
  <c r="F106" i="7"/>
  <c r="C107" i="7"/>
  <c r="F107" i="7"/>
  <c r="F108" i="7"/>
  <c r="F109" i="7"/>
  <c r="F110" i="7"/>
  <c r="F111" i="7"/>
  <c r="F112" i="7"/>
  <c r="F113" i="7"/>
  <c r="F114" i="7"/>
  <c r="C105" i="7"/>
  <c r="F105" i="7"/>
  <c r="F103" i="7"/>
  <c r="F82" i="7"/>
  <c r="F83" i="7"/>
  <c r="F84" i="7"/>
  <c r="F85" i="7"/>
  <c r="F86" i="7"/>
  <c r="F87" i="7"/>
  <c r="F88" i="7"/>
  <c r="F89" i="7"/>
  <c r="F90" i="7"/>
  <c r="F81" i="7"/>
  <c r="C93" i="7"/>
  <c r="F79" i="7"/>
  <c r="F58" i="7"/>
  <c r="F59" i="7"/>
  <c r="F60" i="7"/>
  <c r="F61" i="7"/>
  <c r="F62" i="7"/>
  <c r="F63" i="7"/>
  <c r="F64" i="7"/>
  <c r="F65" i="7"/>
  <c r="F66" i="7"/>
  <c r="F57" i="7"/>
  <c r="C69" i="7"/>
  <c r="F55" i="7"/>
  <c r="F34" i="7"/>
  <c r="F35" i="7"/>
  <c r="F36" i="7"/>
  <c r="F37" i="7"/>
  <c r="F38" i="7"/>
  <c r="F39" i="7"/>
  <c r="F40" i="7"/>
  <c r="F41" i="7"/>
  <c r="F42" i="7"/>
  <c r="F33" i="7"/>
  <c r="C45" i="7"/>
  <c r="F31" i="7"/>
  <c r="C10" i="7"/>
  <c r="C11" i="7"/>
  <c r="C14" i="7"/>
  <c r="C16" i="7"/>
  <c r="F130" i="7"/>
  <c r="F131" i="7"/>
  <c r="F132" i="7"/>
  <c r="F133" i="7"/>
  <c r="F134" i="7"/>
  <c r="F135" i="7"/>
  <c r="F136" i="7"/>
  <c r="F137" i="7"/>
  <c r="F138" i="7"/>
  <c r="F129" i="7"/>
  <c r="F32" i="7"/>
  <c r="E32" i="7"/>
  <c r="C43" i="6"/>
  <c r="C44" i="6"/>
  <c r="F34" i="6"/>
  <c r="F33" i="6"/>
  <c r="F32" i="6"/>
  <c r="F176" i="7"/>
  <c r="F128" i="7"/>
  <c r="E128" i="7"/>
  <c r="F127" i="7"/>
  <c r="E127" i="7"/>
  <c r="C145" i="7"/>
  <c r="E176" i="7"/>
  <c r="C188" i="7"/>
  <c r="E175" i="7"/>
  <c r="C193" i="7"/>
  <c r="F104" i="7"/>
  <c r="E104" i="7"/>
  <c r="C116" i="7"/>
  <c r="E103" i="7"/>
  <c r="C121" i="7"/>
  <c r="F80" i="7"/>
  <c r="E80" i="7"/>
  <c r="C92" i="7"/>
  <c r="E79" i="7"/>
  <c r="C97" i="7"/>
  <c r="F56" i="7"/>
  <c r="E56" i="7"/>
  <c r="C68" i="7"/>
  <c r="E55" i="7"/>
  <c r="C73" i="7"/>
  <c r="C44" i="7"/>
  <c r="E31" i="7"/>
  <c r="C49" i="7"/>
  <c r="E8" i="7"/>
  <c r="E7" i="7"/>
  <c r="C25" i="7"/>
  <c r="C212" i="7"/>
  <c r="C146" i="7"/>
  <c r="C144" i="7"/>
  <c r="E42" i="7"/>
  <c r="E66" i="7"/>
  <c r="E114" i="7"/>
  <c r="E138" i="7"/>
  <c r="E186" i="7"/>
  <c r="E41" i="7"/>
  <c r="E65" i="7"/>
  <c r="E113" i="7"/>
  <c r="E137" i="7"/>
  <c r="E185" i="7"/>
  <c r="E40" i="7"/>
  <c r="E64" i="7"/>
  <c r="E112" i="7"/>
  <c r="E136" i="7"/>
  <c r="E184" i="7"/>
  <c r="E37" i="7"/>
  <c r="E61" i="7"/>
  <c r="E109" i="7"/>
  <c r="E133" i="7"/>
  <c r="E181" i="7"/>
  <c r="F36" i="6"/>
  <c r="E36" i="6"/>
  <c r="C67" i="6"/>
  <c r="C68" i="6"/>
  <c r="F60" i="6"/>
  <c r="E60" i="6"/>
  <c r="C91" i="6"/>
  <c r="C92" i="6"/>
  <c r="F84" i="6"/>
  <c r="E84" i="6"/>
  <c r="C115" i="6"/>
  <c r="C116" i="6"/>
  <c r="F108" i="6"/>
  <c r="E108" i="6"/>
  <c r="F156" i="6"/>
  <c r="E156" i="6"/>
  <c r="C188" i="6"/>
  <c r="C180" i="6"/>
  <c r="F180" i="6"/>
  <c r="E180" i="6"/>
  <c r="E39" i="7"/>
  <c r="E63" i="7"/>
  <c r="E111" i="7"/>
  <c r="E135" i="7"/>
  <c r="E183" i="7"/>
  <c r="E38" i="7"/>
  <c r="E62" i="7"/>
  <c r="E110" i="7"/>
  <c r="E134" i="7"/>
  <c r="E182" i="7"/>
  <c r="C194" i="7"/>
  <c r="C122" i="7"/>
  <c r="C74" i="7"/>
  <c r="C50" i="7"/>
  <c r="C192" i="7"/>
  <c r="C120" i="7"/>
  <c r="C72" i="7"/>
  <c r="C48" i="7"/>
  <c r="E177" i="7"/>
  <c r="E178" i="7"/>
  <c r="E179" i="7"/>
  <c r="E180" i="7"/>
  <c r="C191" i="7"/>
  <c r="E129" i="7"/>
  <c r="E130" i="7"/>
  <c r="E131" i="7"/>
  <c r="E132" i="7"/>
  <c r="C143" i="7"/>
  <c r="E105" i="7"/>
  <c r="E106" i="7"/>
  <c r="E107" i="7"/>
  <c r="E108" i="7"/>
  <c r="C119" i="7"/>
  <c r="E57" i="7"/>
  <c r="E58" i="7"/>
  <c r="E59" i="7"/>
  <c r="E60" i="7"/>
  <c r="C71" i="7"/>
  <c r="E33" i="7"/>
  <c r="E34" i="7"/>
  <c r="E35" i="7"/>
  <c r="E36" i="7"/>
  <c r="C47" i="7"/>
  <c r="C9" i="6"/>
  <c r="C10" i="6"/>
  <c r="F41" i="6"/>
  <c r="E41" i="6"/>
  <c r="F65" i="6"/>
  <c r="E65" i="6"/>
  <c r="F89" i="6"/>
  <c r="E89" i="6"/>
  <c r="F113" i="6"/>
  <c r="E113" i="6"/>
  <c r="F161" i="6"/>
  <c r="E161" i="6"/>
  <c r="F185" i="6"/>
  <c r="E185" i="6"/>
  <c r="F176" i="6"/>
  <c r="F177" i="6"/>
  <c r="F178" i="6"/>
  <c r="F179" i="6"/>
  <c r="C191" i="6"/>
  <c r="F152" i="6"/>
  <c r="F153" i="6"/>
  <c r="F154" i="6"/>
  <c r="F155" i="6"/>
  <c r="C167" i="6"/>
  <c r="C104" i="6"/>
  <c r="F104" i="6"/>
  <c r="C105" i="6"/>
  <c r="F105" i="6"/>
  <c r="C106" i="6"/>
  <c r="F106" i="6"/>
  <c r="F107" i="6"/>
  <c r="C119" i="6"/>
  <c r="F80" i="6"/>
  <c r="F81" i="6"/>
  <c r="F82" i="6"/>
  <c r="F83" i="6"/>
  <c r="C95" i="6"/>
  <c r="F56" i="6"/>
  <c r="F57" i="6"/>
  <c r="F58" i="6"/>
  <c r="F59" i="6"/>
  <c r="C71" i="6"/>
  <c r="F35" i="6"/>
  <c r="C47" i="6"/>
  <c r="E176" i="6"/>
  <c r="E177" i="6"/>
  <c r="E178" i="6"/>
  <c r="E179" i="6"/>
  <c r="C190" i="6"/>
  <c r="E152" i="6"/>
  <c r="E153" i="6"/>
  <c r="E154" i="6"/>
  <c r="E155" i="6"/>
  <c r="C166" i="6"/>
  <c r="E104" i="6"/>
  <c r="E105" i="6"/>
  <c r="E106" i="6"/>
  <c r="E107" i="6"/>
  <c r="C118" i="6"/>
  <c r="E80" i="6"/>
  <c r="E81" i="6"/>
  <c r="E82" i="6"/>
  <c r="E83" i="6"/>
  <c r="C94" i="6"/>
  <c r="E56" i="6"/>
  <c r="E57" i="6"/>
  <c r="E58" i="6"/>
  <c r="E59" i="6"/>
  <c r="C70" i="6"/>
  <c r="E32" i="6"/>
  <c r="E33" i="6"/>
  <c r="E34" i="6"/>
  <c r="E35" i="6"/>
  <c r="C46" i="6"/>
  <c r="C184" i="6"/>
  <c r="F184" i="6"/>
  <c r="F183" i="6"/>
  <c r="F182" i="6"/>
  <c r="F181" i="6"/>
  <c r="F175" i="6"/>
  <c r="F174" i="6"/>
  <c r="C193" i="6"/>
  <c r="F160" i="6"/>
  <c r="F159" i="6"/>
  <c r="F158" i="6"/>
  <c r="F157" i="6"/>
  <c r="F151" i="6"/>
  <c r="C169" i="6"/>
  <c r="F112" i="6"/>
  <c r="F111" i="6"/>
  <c r="F110" i="6"/>
  <c r="F109" i="6"/>
  <c r="F103" i="6"/>
  <c r="F102" i="6"/>
  <c r="C121" i="6"/>
  <c r="F88" i="6"/>
  <c r="F87" i="6"/>
  <c r="F86" i="6"/>
  <c r="F85" i="6"/>
  <c r="F79" i="6"/>
  <c r="F78" i="6"/>
  <c r="C97" i="6"/>
  <c r="F64" i="6"/>
  <c r="F63" i="6"/>
  <c r="F62" i="6"/>
  <c r="F61" i="6"/>
  <c r="F55" i="6"/>
  <c r="F54" i="6"/>
  <c r="C73" i="6"/>
  <c r="F40" i="6"/>
  <c r="F39" i="6"/>
  <c r="F38" i="6"/>
  <c r="F37" i="6"/>
  <c r="F31" i="6"/>
  <c r="F30" i="6"/>
  <c r="C49" i="6"/>
  <c r="C15" i="6"/>
  <c r="C13" i="6"/>
  <c r="E175" i="6"/>
  <c r="E174" i="6"/>
  <c r="C192" i="6"/>
  <c r="E151" i="6"/>
  <c r="C168" i="6"/>
  <c r="E103" i="6"/>
  <c r="E102" i="6"/>
  <c r="C120" i="6"/>
  <c r="E79" i="6"/>
  <c r="E78" i="6"/>
  <c r="C96" i="6"/>
  <c r="E55" i="6"/>
  <c r="E54" i="6"/>
  <c r="C72" i="6"/>
  <c r="E31" i="6"/>
  <c r="E30" i="6"/>
  <c r="C48" i="6"/>
  <c r="F150" i="6"/>
  <c r="E150" i="6"/>
  <c r="E184" i="6"/>
  <c r="E64" i="6"/>
  <c r="E40" i="6"/>
  <c r="E88" i="6"/>
  <c r="E112" i="6"/>
  <c r="E160" i="6"/>
  <c r="E183" i="6"/>
  <c r="E63" i="6"/>
  <c r="E39" i="6"/>
  <c r="E87" i="6"/>
  <c r="E111" i="6"/>
  <c r="E159" i="6"/>
  <c r="E182" i="6"/>
  <c r="E62" i="6"/>
  <c r="E38" i="6"/>
  <c r="E86" i="6"/>
  <c r="E110" i="6"/>
  <c r="E158" i="6"/>
  <c r="E181" i="6"/>
  <c r="E61" i="6"/>
  <c r="E37" i="6"/>
  <c r="E85" i="6"/>
  <c r="E109" i="6"/>
  <c r="E157" i="6"/>
  <c r="C214" i="6"/>
  <c r="D214" i="6"/>
  <c r="E90" i="7"/>
  <c r="E89" i="7"/>
  <c r="E88" i="7"/>
  <c r="E87" i="7"/>
  <c r="E86" i="7"/>
  <c r="C98" i="7"/>
  <c r="C96" i="7"/>
  <c r="E82" i="7"/>
  <c r="E83" i="7"/>
  <c r="E84" i="7"/>
  <c r="E81" i="7"/>
  <c r="C95" i="7"/>
  <c r="E8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Momoka Nakamura</author>
    <author>Microsoft Office User</author>
  </authors>
  <commentList>
    <comment ref="C8" authorId="0" shapeId="0" xr:uid="{00000000-0006-0000-0100-000001000000}">
      <text>
        <r>
          <rPr>
            <sz val="9"/>
            <color rgb="FF000000"/>
            <rFont val="Calibri"/>
            <family val="2"/>
          </rPr>
          <t>Deng, Liqiu, Callie Babbitt, and Eric Williams. “Economic-balance Hybrid LCA Extended with Uncertainty Analysis: Case Study of a Laptop Computer.” Journal of Cleaner Production 19.11 (2011): 1198–1206. Print.</t>
        </r>
      </text>
    </comment>
    <comment ref="C9" authorId="0" shapeId="0" xr:uid="{00000000-0006-0000-0100-000002000000}">
      <text>
        <r>
          <rPr>
            <sz val="9"/>
            <color indexed="81"/>
            <rFont val="Calibri"/>
            <family val="2"/>
          </rPr>
          <t>US EPA, Abt Associates, inc., Dillion Environmental Associates, and UT. "Electronics Environmental Benefits Calculator version 2.0". File last modified Mar 2 2009. Microsoft Excel file</t>
        </r>
      </text>
    </comment>
    <comment ref="C10" authorId="0" shapeId="0" xr:uid="{00000000-0006-0000-0100-000003000000}">
      <text>
        <r>
          <rPr>
            <sz val="9"/>
            <color rgb="FF000000"/>
            <rFont val="Calibri"/>
            <family val="2"/>
          </rPr>
          <t>US EPA, Abt Associates, inc., Dillion Environmental Associates, and UT. "Electronics Environmental Benefits Calculator version 2.0". File last modified Mar 2 2009. Microsoft Excel file</t>
        </r>
      </text>
    </comment>
    <comment ref="C11" authorId="0" shapeId="0" xr:uid="{00000000-0006-0000-0100-000004000000}">
      <text>
        <r>
          <rPr>
            <sz val="9"/>
            <color indexed="81"/>
            <rFont val="Calibri"/>
            <family val="2"/>
          </rPr>
          <t xml:space="preserve">US EPA. "Approach 2: Model 2". Microsoft Excel file
</t>
        </r>
      </text>
    </comment>
    <comment ref="C12" authorId="0" shapeId="0" xr:uid="{00000000-0006-0000-0100-000005000000}">
      <text>
        <r>
          <rPr>
            <sz val="9"/>
            <color rgb="FF000000"/>
            <rFont val="Calibri"/>
            <family val="2"/>
          </rPr>
          <t>Deng, Liqiu, Callie Babbitt, and Eric Williams. “Economic-balance Hybrid LCA Extended with Uncertainty Analysis: Case Study of a Laptop Computer.” Journal of Cleaner Production 19.11 (2011): 1198–1206. Print.</t>
        </r>
      </text>
    </comment>
    <comment ref="C13" authorId="0" shapeId="0" xr:uid="{00000000-0006-0000-0100-000006000000}">
      <text>
        <r>
          <rPr>
            <sz val="9"/>
            <color indexed="81"/>
            <rFont val="Calibri"/>
            <family val="2"/>
          </rPr>
          <t>Deng, Liqiu, Callie Babbitt, and Eric Williams. “Economic-balance Hybrid LCA Extended with Uncertainty Analysis: Case Study of a Laptop Computer.” Journal of Cleaner Production 19.11 (2011): 1198–1206. Print.</t>
        </r>
      </text>
    </comment>
    <comment ref="C14" authorId="0" shapeId="0" xr:uid="{00000000-0006-0000-0100-000007000000}">
      <text>
        <r>
          <rPr>
            <sz val="9"/>
            <color indexed="81"/>
            <rFont val="Calibri"/>
            <family val="2"/>
          </rPr>
          <t>Wang, Xue, and Gabrielle Gaustad. “Prioritizing Material Recovery for End-of-life Printed Circuit Boards.” Waste Management 32.10 (2012): 1903–1913. Print.</t>
        </r>
      </text>
    </comment>
    <comment ref="C15" authorId="0" shapeId="0" xr:uid="{00000000-0006-0000-0100-000008000000}">
      <text>
        <r>
          <rPr>
            <sz val="9"/>
            <color indexed="81"/>
            <rFont val="Calibri"/>
            <family val="2"/>
          </rPr>
          <t>Deng, Liqiu, Callie Babbitt, and Eric Williams. “Economic-balance Hybrid LCA Extended with Uncertainty Analysis: Case Study of a Laptop Computer.” Journal of Cleaner Production 19.11 (2011): 1198–1206. Print.</t>
        </r>
      </text>
    </comment>
    <comment ref="C16" authorId="0" shapeId="0" xr:uid="{00000000-0006-0000-0100-000009000000}">
      <text>
        <r>
          <rPr>
            <sz val="9"/>
            <color indexed="81"/>
            <rFont val="Calibri"/>
            <family val="2"/>
          </rPr>
          <t>Deng, Liqiu, Callie Babbitt, and Eric Williams. “Economic-balance Hybrid LCA Extended with Uncertainty Analysis: Case Study of a Laptop Computer.” Journal of Cleaner Production 19.11 (2011): 1198–1206. Print.</t>
        </r>
      </text>
    </comment>
    <comment ref="C17" authorId="0" shapeId="0" xr:uid="{00000000-0006-0000-0100-00000A000000}">
      <text>
        <r>
          <rPr>
            <sz val="9"/>
            <color indexed="81"/>
            <rFont val="Calibri"/>
            <family val="2"/>
          </rPr>
          <t xml:space="preserve">Deng, Liqiu, Callie Babbitt, and Eric Williams. “Economic-balance Hybrid LCA Extended with Uncertainty Analysis: Case Study of a Laptop Computer.” Journal of Cleaner Production 19.11 (2011): 1198–1206. Print.
</t>
        </r>
      </text>
    </comment>
    <comment ref="F19" authorId="0" shapeId="0" xr:uid="{00000000-0006-0000-0100-00000B000000}">
      <text>
        <r>
          <rPr>
            <sz val="9"/>
            <color indexed="81"/>
            <rFont val="Calibri"/>
            <family val="2"/>
          </rPr>
          <t>Deng, Liqiu, Callie Babbitt, and Eric Williams. “Economic-balance Hybrid LCA Extended with Uncertainty Analysis: Case Study of a Laptop Computer.” Journal of Cleaner Production 19.11 (2011): 1198–1206. Print.</t>
        </r>
      </text>
    </comment>
    <comment ref="C32" authorId="0" shapeId="0" xr:uid="{00000000-0006-0000-0100-00000C000000}">
      <text>
        <r>
          <rPr>
            <sz val="9"/>
            <color indexed="81"/>
            <rFont val="Calibri"/>
            <family val="2"/>
          </rPr>
          <t xml:space="preserve">Electronic Industries Alliance. "Lead in Cathode Ray Tubes (CRTs) Information Sheet." Print. </t>
        </r>
      </text>
    </comment>
    <comment ref="C34" authorId="0" shapeId="0" xr:uid="{00000000-0006-0000-0100-00000D000000}">
      <text>
        <r>
          <rPr>
            <sz val="9"/>
            <color indexed="81"/>
            <rFont val="Calibri"/>
            <family val="2"/>
          </rPr>
          <t xml:space="preserve">US EPA. "Approach 2: Model 2". Microsoft Excel file
</t>
        </r>
      </text>
    </comment>
    <comment ref="C35" authorId="0" shapeId="0" xr:uid="{00000000-0006-0000-0100-00000E000000}">
      <text>
        <r>
          <rPr>
            <sz val="9"/>
            <color indexed="81"/>
            <rFont val="Calibri"/>
            <family val="2"/>
          </rPr>
          <t>Wang, Xue, and Gabrielle Gaustad. “Prioritizing Material Recovery for End-of-life Printed Circuit Boards.” Waste Management 32.10 (2012): 1903–1913. Print.</t>
        </r>
      </text>
    </comment>
    <comment ref="C36" authorId="0" shapeId="0" xr:uid="{00000000-0006-0000-0100-00000F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37" authorId="0" shapeId="0" xr:uid="{00000000-0006-0000-0100-000010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38" authorId="0" shapeId="0" xr:uid="{00000000-0006-0000-0100-000011000000}">
      <text>
        <r>
          <rPr>
            <sz val="9"/>
            <color indexed="81"/>
            <rFont val="Calibri"/>
            <family val="2"/>
          </rPr>
          <t>Wang, Xue, and Gabrielle Gaustad. “Prioritizing Material Recovery for End-of-life Printed Circuit Boards.” Waste Management 32.10 (2012): 1903–1913. Print.</t>
        </r>
      </text>
    </comment>
    <comment ref="C39" authorId="0" shapeId="0" xr:uid="{00000000-0006-0000-0100-000012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40" authorId="0" shapeId="0" xr:uid="{00000000-0006-0000-0100-000013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41" authorId="0" shapeId="0" xr:uid="{00000000-0006-0000-0100-000014000000}">
      <text>
        <r>
          <rPr>
            <sz val="9"/>
            <color indexed="81"/>
            <rFont val="Calibri"/>
            <family val="2"/>
          </rPr>
          <t>“EPA DFE Monitor Life Cycle Inventory Report.” 1-162. Print.</t>
        </r>
      </text>
    </comment>
    <comment ref="F43" authorId="0" shapeId="0" xr:uid="{00000000-0006-0000-0100-000015000000}">
      <text>
        <r>
          <rPr>
            <sz val="9"/>
            <color indexed="81"/>
            <rFont val="Calibri"/>
            <family val="2"/>
          </rPr>
          <t>US EPA. "Approach 2: Model 2". Microsoft Excel file</t>
        </r>
      </text>
    </comment>
    <comment ref="C56" authorId="0" shapeId="0" xr:uid="{00000000-0006-0000-0100-000016000000}">
      <text>
        <r>
          <rPr>
            <sz val="9"/>
            <color rgb="FF000000"/>
            <rFont val="Calibri"/>
            <family val="2"/>
          </rPr>
          <t>US EPA. "Approach 2: Model 2". Microsoft Excel file</t>
        </r>
      </text>
    </comment>
    <comment ref="C59" authorId="0" shapeId="0" xr:uid="{00000000-0006-0000-0100-000017000000}">
      <text>
        <r>
          <rPr>
            <sz val="9"/>
            <color indexed="81"/>
            <rFont val="Calibri"/>
            <family val="2"/>
          </rPr>
          <t xml:space="preserve">US EPA. "Approach 2: Model 2". Microsoft Excel file
</t>
        </r>
      </text>
    </comment>
    <comment ref="C60" authorId="0" shapeId="0" xr:uid="{00000000-0006-0000-0100-000018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61" authorId="0" shapeId="0" xr:uid="{00000000-0006-0000-0100-000019000000}">
      <text>
        <r>
          <rPr>
            <sz val="9"/>
            <color indexed="81"/>
            <rFont val="Calibri"/>
            <family val="2"/>
          </rPr>
          <t>US EPA. "Approach 2: Model 2". Microsoft Excel file</t>
        </r>
      </text>
    </comment>
    <comment ref="C62" authorId="0" shapeId="0" xr:uid="{00000000-0006-0000-0100-00001A000000}">
      <text>
        <r>
          <rPr>
            <sz val="9"/>
            <color indexed="81"/>
            <rFont val="Calibri"/>
            <family val="2"/>
          </rPr>
          <t>Wang, Xue, and Gabrielle Gaustad. “Prioritizing Material Recovery for End-of-life Printed Circuit Boards.” Waste Management 32.10 (2012): 1903–1913. Print.</t>
        </r>
      </text>
    </comment>
    <comment ref="C63" authorId="0" shapeId="0" xr:uid="{00000000-0006-0000-0100-00001B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64" authorId="0" shapeId="0" xr:uid="{00000000-0006-0000-0100-00001C000000}">
      <text>
        <r>
          <rPr>
            <sz val="9"/>
            <color indexed="81"/>
            <rFont val="Calibri"/>
            <family val="2"/>
          </rPr>
          <t xml:space="preserve">US EPA. "Approach 2: Model 2". Microsoft Excel file
</t>
        </r>
      </text>
    </comment>
    <comment ref="C65" authorId="0" shapeId="0" xr:uid="{00000000-0006-0000-0100-00001D000000}">
      <text>
        <r>
          <rPr>
            <sz val="9"/>
            <color indexed="81"/>
            <rFont val="Calibri"/>
            <family val="2"/>
          </rPr>
          <t>US EPA. "Approach 2: Model 2". Microsoft Excel file</t>
        </r>
      </text>
    </comment>
    <comment ref="F67" authorId="0" shapeId="0" xr:uid="{00000000-0006-0000-0100-00001E000000}">
      <text>
        <r>
          <rPr>
            <sz val="9"/>
            <color indexed="81"/>
            <rFont val="Calibri"/>
            <family val="2"/>
          </rPr>
          <t>"Weight." A Knowledge Base for the Sustainable Recycling of E-Waste. Web. &lt;http://ewasteguide.info/node/4065&gt;.</t>
        </r>
      </text>
    </comment>
    <comment ref="C80" authorId="0" shapeId="0" xr:uid="{00000000-0006-0000-0100-00001F000000}">
      <text>
        <r>
          <rPr>
            <sz val="9"/>
            <color indexed="81"/>
            <rFont val="Calibri"/>
            <family val="2"/>
          </rPr>
          <t>Determination of Regulated Elements in Discarded Laptop Computers, LCD Monitors, Plasma TVs and LCD TVsv. California Department of Toxic Substances Control, 2004.</t>
        </r>
      </text>
    </comment>
    <comment ref="C81" authorId="0" shapeId="0" xr:uid="{00000000-0006-0000-0100-000020000000}">
      <text>
        <r>
          <rPr>
            <sz val="9"/>
            <color indexed="81"/>
            <rFont val="Calibri"/>
            <family val="2"/>
          </rPr>
          <t>Milovantseva, Natalia, and Jean-Daniel Saphores. “Time Bomb or Hidden Treasure? Characteristics of Junk TVs and of the US Households Who Store Them.” Waste Management 33.3 (2013): 519–529. Print.</t>
        </r>
      </text>
    </comment>
    <comment ref="C82" authorId="0" shapeId="0" xr:uid="{00000000-0006-0000-0100-000021000000}">
      <text>
        <r>
          <rPr>
            <sz val="9"/>
            <color indexed="81"/>
            <rFont val="Calibri"/>
            <family val="2"/>
          </rPr>
          <t>Milovantseva, Natalia, and Jean-Daniel Saphores. “Time Bomb or Hidden Treasure? Characteristics of Junk TVs and of the US Households Who Store Them.” Waste Management 33.3 (2013): 519–529. Print.</t>
        </r>
      </text>
    </comment>
    <comment ref="C83" authorId="0" shapeId="0" xr:uid="{00000000-0006-0000-0100-000022000000}">
      <text>
        <r>
          <rPr>
            <sz val="9"/>
            <color indexed="81"/>
            <rFont val="Calibri"/>
            <family val="2"/>
          </rPr>
          <t>US EPA. "Approach 2: Model 2". Microsoft Excel file</t>
        </r>
      </text>
    </comment>
    <comment ref="C84" authorId="0" shapeId="0" xr:uid="{00000000-0006-0000-0100-000023000000}">
      <text>
        <r>
          <rPr>
            <sz val="9"/>
            <color indexed="81"/>
            <rFont val="Calibri"/>
            <family val="2"/>
          </rPr>
          <t>Determination of Regulated Elements in Discarded Laptop Computers, LCD Monitors, Plasma TVs and LCD TVsv. California Department of Toxic Substances Control, 2004.</t>
        </r>
      </text>
    </comment>
    <comment ref="C85" authorId="0" shapeId="0" xr:uid="{00000000-0006-0000-0100-000024000000}">
      <text>
        <r>
          <rPr>
            <sz val="9"/>
            <color indexed="81"/>
            <rFont val="Calibri"/>
            <family val="2"/>
          </rPr>
          <t>Buchert, Matthias et al. Recycling Critical Raw Materials from Waste Electronic Equipment. North Rhine-Westphalia State Agency for Nature, Environment and Consumer Protection, 2012.</t>
        </r>
      </text>
    </comment>
    <comment ref="C86" authorId="0" shapeId="0" xr:uid="{00000000-0006-0000-0100-000025000000}">
      <text>
        <r>
          <rPr>
            <sz val="9"/>
            <color indexed="81"/>
            <rFont val="Calibri"/>
            <family val="2"/>
          </rPr>
          <t>Wang, Xue, and Gabrielle Gaustad. “Prioritizing Material Recovery for End-of-life Printed Circuit Boards.” Waste Management 32.10 (2012): 1903–1913. Print.</t>
        </r>
      </text>
    </comment>
    <comment ref="C88" authorId="0" shapeId="0" xr:uid="{00000000-0006-0000-0100-000026000000}">
      <text>
        <r>
          <rPr>
            <sz val="9"/>
            <color indexed="81"/>
            <rFont val="Calibri"/>
            <family val="2"/>
          </rPr>
          <t>US EPA. "Approach 2: Model 2". Microsoft Excel file</t>
        </r>
      </text>
    </comment>
    <comment ref="C89" authorId="0" shapeId="0" xr:uid="{00000000-0006-0000-0100-000027000000}">
      <text>
        <r>
          <rPr>
            <sz val="9"/>
            <color indexed="81"/>
            <rFont val="Calibri"/>
            <family val="2"/>
          </rPr>
          <t>“EPA DFE Monitor Life Cycle Inventory Report.” 1-162. Print.</t>
        </r>
      </text>
    </comment>
    <comment ref="F91" authorId="0" shapeId="0" xr:uid="{00000000-0006-0000-0100-000028000000}">
      <text>
        <r>
          <rPr>
            <sz val="9"/>
            <color indexed="81"/>
            <rFont val="Calibri"/>
            <family val="2"/>
          </rPr>
          <t>Determination of Regulated Elements in Discarded Laptop Computers, LCD Monitors, Plasma TVs and LCD TVsv. California Department of Toxic Substances Control, 2004.</t>
        </r>
      </text>
    </comment>
    <comment ref="C104" authorId="0" shapeId="0" xr:uid="{00000000-0006-0000-0100-000029000000}">
      <text>
        <r>
          <rPr>
            <sz val="9"/>
            <color indexed="81"/>
            <rFont val="Calibri"/>
            <family val="2"/>
          </rPr>
          <t>Pant, Deepak et al. “Chemical and Biological Extraction of Metals Present in E Waste: A Hybrid Technology.” Waste Management 32.5 (2012): 979–990.</t>
        </r>
      </text>
    </comment>
    <comment ref="C105" authorId="0" shapeId="0" xr:uid="{00000000-0006-0000-0100-00002A000000}">
      <text>
        <r>
          <rPr>
            <sz val="9"/>
            <color indexed="81"/>
            <rFont val="Calibri"/>
            <family val="2"/>
          </rPr>
          <t>Wu, B et al. “Assessment of Toxicity Potential of Metallic Elements in Discarded Electronics: A Case Study of Mobile Phones in China.” Journal of Environmental Sciences 20.11 (2008): 1403–1408. Print.</t>
        </r>
      </text>
    </comment>
    <comment ref="C106" authorId="0" shapeId="0" xr:uid="{00000000-0006-0000-0100-00002B000000}">
      <text>
        <r>
          <rPr>
            <sz val="9"/>
            <color indexed="81"/>
            <rFont val="Calibri"/>
            <family val="2"/>
          </rPr>
          <t>Wu, B et al. “Assessment of Toxicity Potential of Metallic Elements in Discarded Electronics: A Case Study of Mobile Phones in China.” Journal of Environmental Sciences 20.11 (2008): 1403–1408. Print.</t>
        </r>
      </text>
    </comment>
    <comment ref="C107" authorId="0" shapeId="0" xr:uid="{00000000-0006-0000-0100-00002C000000}">
      <text>
        <r>
          <rPr>
            <sz val="9"/>
            <color indexed="81"/>
            <rFont val="Calibri"/>
            <family val="2"/>
          </rPr>
          <t>Wang, Xue, and Gabrielle Gaustad. “Prioritizing Material Recovery for End-of-life Printed Circuit Boards.” Waste Management 32.10 (2012): 1903–1913. Print.</t>
        </r>
      </text>
    </comment>
    <comment ref="C108" authorId="0" shapeId="0" xr:uid="{00000000-0006-0000-0100-00002D000000}">
      <text>
        <r>
          <rPr>
            <sz val="9"/>
            <color indexed="81"/>
            <rFont val="Calibri"/>
            <family val="2"/>
          </rPr>
          <t>Sullivan, Daniel. Recycled Cell Phones—A Treasure Trove of Valuable Metals. US Geological Survey, 2006. Print.</t>
        </r>
      </text>
    </comment>
    <comment ref="C109" authorId="0" shapeId="0" xr:uid="{00000000-0006-0000-0100-00002E000000}">
      <text>
        <r>
          <rPr>
            <sz val="9"/>
            <color indexed="81"/>
            <rFont val="Calibri"/>
            <family val="2"/>
          </rPr>
          <t>Sullivan, Daniel. Recycled Cell Phones—A Treasure Trove of Valuable Metals. US Geological Survey, 2006. Print.
Pant, Deepak et al. “Chemical and Biological Extraction of Metals Present in E Waste: A Hybrid Technology.” Waste Management 32.5 (2012): 979–990.</t>
        </r>
      </text>
    </comment>
    <comment ref="C110" authorId="0" shapeId="0" xr:uid="{00000000-0006-0000-0100-00002F000000}">
      <text>
        <r>
          <rPr>
            <sz val="9"/>
            <color indexed="81"/>
            <rFont val="Calibri"/>
            <family val="2"/>
          </rPr>
          <t>Sullivan, Daniel. Recycled Cell Phones—A Treasure Trove of Valuable Metals. US Geological Survey, 2006. Print.</t>
        </r>
      </text>
    </comment>
    <comment ref="C111" authorId="0" shapeId="0" xr:uid="{00000000-0006-0000-0100-000030000000}">
      <text>
        <r>
          <rPr>
            <sz val="9"/>
            <color indexed="81"/>
            <rFont val="Calibri"/>
            <family val="2"/>
          </rPr>
          <t>Buchert, Matthias et al. Recycling Critical Raw Materials from Waste Electronic Equipment. North Rhine-Westphalia State Agency for Nature, Environment and Consumer Protection, 2012.
Sullivan, Daniel. Recycled Cell Phones—A Treasure Trove of Valuable Metals. US Geological Survey, 2006. Print.</t>
        </r>
      </text>
    </comment>
    <comment ref="C112" authorId="0" shapeId="0" xr:uid="{00000000-0006-0000-0100-000031000000}">
      <text>
        <r>
          <rPr>
            <sz val="9"/>
            <color indexed="81"/>
            <rFont val="Calibri"/>
            <family val="2"/>
          </rPr>
          <t>Pant, Deepak et al. “Chemical and Biological Extraction of Metals Present in E Waste: A Hybrid Technology.” Waste Management 32.5 (2012): 979–990.</t>
        </r>
      </text>
    </comment>
    <comment ref="C113" authorId="0" shapeId="0" xr:uid="{00000000-0006-0000-0100-000032000000}">
      <text>
        <r>
          <rPr>
            <sz val="9"/>
            <color indexed="81"/>
            <rFont val="Calibri"/>
            <family val="2"/>
          </rPr>
          <t>US EPA, Abt Associates, inc., Dillion Environmental Associates, and UT. "Electronics Environmental Benefits Calculator version 2.0". File last modified Mar 2 2009. Microsoft Excel file</t>
        </r>
      </text>
    </comment>
    <comment ref="F115" authorId="0" shapeId="0" xr:uid="{00000000-0006-0000-0100-000033000000}">
      <text>
        <r>
          <rPr>
            <sz val="9"/>
            <color indexed="81"/>
            <rFont val="Calibri"/>
            <family val="2"/>
          </rPr>
          <t>Sullivan, Daniel. Recycled Cell Phones—A Treasure Trove of Valuable Metals. US Geological Survey, 2006. Print.</t>
        </r>
      </text>
    </comment>
    <comment ref="C132" authorId="1" shapeId="0" xr:uid="{FEB9040D-EEB2-7640-9F1F-DE8DF27D3220}">
      <text>
        <r>
          <rPr>
            <sz val="10"/>
            <color rgb="FF000000"/>
            <rFont val="Tahoma"/>
            <family val="2"/>
          </rPr>
          <t>Ruby Thuy Nguyen, Luis A. Diaz, D. Devin Imholte, Tedd E. Lister et al. "Economic Assessment for Recycling Critical Metals from Hard Disk Drives Using a Comprehensive Recovery Process."</t>
        </r>
      </text>
    </comment>
    <comment ref="C133" authorId="1" shapeId="0" xr:uid="{DD68FC0B-B675-9E43-B1D3-714F75FE8C6B}">
      <text>
        <r>
          <rPr>
            <sz val="10"/>
            <color rgb="FF000000"/>
            <rFont val="Tahoma"/>
            <family val="2"/>
          </rPr>
          <t>Ruby Thuy Nguyen, Luis A. Diaz, D. Devin Imholte, Tedd E. Lister et al. "Economic Assessment for Recycling Critical Metals from Hard Disk Drives Using a Comprehensive Recovery Process."</t>
        </r>
      </text>
    </comment>
    <comment ref="C135" authorId="1" shapeId="0" xr:uid="{5D7647AF-EFE0-5E41-A1E1-D2A91096164A}">
      <text>
        <r>
          <rPr>
            <sz val="10"/>
            <color rgb="FF000000"/>
            <rFont val="Tahoma"/>
            <family val="2"/>
          </rPr>
          <t>Ruby Thuy Nguyen, Luis A. Diaz, D. Devin Imholte, Tedd E. Lister et al. "Economic Assessment for Recycling Critical Metals from Hard Disk Drives Using a Comprehensive Recovery Process."</t>
        </r>
      </text>
    </comment>
    <comment ref="C136" authorId="1" shapeId="0" xr:uid="{F99E39A0-6F65-E942-8FC8-1C1DD0CC27F3}">
      <text>
        <r>
          <rPr>
            <sz val="10"/>
            <color rgb="FF000000"/>
            <rFont val="Tahoma"/>
            <family val="2"/>
          </rPr>
          <t xml:space="preserve">Ruby Thuy Nguyen, Luis A. Diaz, D. Devin Imholte, Tedd E. Lister et al. "Economic Assessment for Recycling Critical Metals from Hard Disk Drives Using a Comprehensive Recovery Process."
</t>
        </r>
      </text>
    </comment>
    <comment ref="C152" authorId="0" shapeId="0" xr:uid="{00000000-0006-0000-0100-000034000000}">
      <text>
        <r>
          <rPr>
            <sz val="9"/>
            <color rgb="FF000000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54" authorId="0" shapeId="0" xr:uid="{00000000-0006-0000-0100-000035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55" authorId="0" shapeId="0" xr:uid="{00000000-0006-0000-0100-000036000000}">
      <text>
        <r>
          <rPr>
            <sz val="9"/>
            <color indexed="81"/>
            <rFont val="Calibri"/>
            <family val="2"/>
          </rPr>
          <t>Wang, Xue, and Gabrielle Gaustad. “Prioritizing Material Recovery for End-of-life Printed Circuit Boards.” Waste Management 32.10 (2012): 1903–1913. Print.</t>
        </r>
      </text>
    </comment>
    <comment ref="C156" authorId="0" shapeId="0" xr:uid="{00000000-0006-0000-0100-000037000000}">
      <text>
        <r>
          <rPr>
            <sz val="9"/>
            <color rgb="FF000000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57" authorId="0" shapeId="0" xr:uid="{00000000-0006-0000-0100-000038000000}">
      <text>
        <r>
          <rPr>
            <sz val="9"/>
            <color rgb="FF000000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58" authorId="0" shapeId="0" xr:uid="{00000000-0006-0000-0100-000039000000}">
      <text>
        <r>
          <rPr>
            <sz val="9"/>
            <color rgb="FF000000"/>
            <rFont val="Calibri"/>
            <family val="2"/>
          </rPr>
          <t>Wang, Xue, and Gabrielle Gaustad. “Prioritizing Material Recovery for End-of-life Printed Circuit Boards.” Waste Management 32.10 (2012): 1903–1913. Print.</t>
        </r>
      </text>
    </comment>
    <comment ref="C159" authorId="0" shapeId="0" xr:uid="{00000000-0006-0000-0100-00003A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60" authorId="0" shapeId="0" xr:uid="{00000000-0006-0000-0100-00003B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F163" authorId="0" shapeId="0" xr:uid="{00000000-0006-0000-0100-00003C000000}">
      <text>
        <r>
          <rPr>
            <sz val="9"/>
            <color indexed="81"/>
            <rFont val="Calibri"/>
            <family val="2"/>
          </rPr>
          <t xml:space="preserve">Electronics Waste Management in the United States Through 2009. US EPA, 2011.
</t>
        </r>
      </text>
    </comment>
    <comment ref="C176" authorId="0" shapeId="0" xr:uid="{00000000-0006-0000-0100-00003D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80" authorId="0" shapeId="0" xr:uid="{00000000-0006-0000-0100-00003E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81" authorId="0" shapeId="0" xr:uid="{00000000-0006-0000-0100-00003F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83" authorId="0" shapeId="0" xr:uid="{00000000-0006-0000-0100-000040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84" authorId="0" shapeId="0" xr:uid="{00000000-0006-0000-0100-000041000000}">
      <text>
        <r>
          <rPr>
            <sz val="9"/>
            <color rgb="FF000000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F187" authorId="0" shapeId="0" xr:uid="{00000000-0006-0000-0100-000042000000}">
      <text>
        <r>
          <rPr>
            <sz val="9"/>
            <color rgb="FF000000"/>
            <rFont val="Calibri"/>
            <family val="2"/>
          </rPr>
          <t>"Average E-Waste Weights." 3R Technology. &lt;http://www.3rtechnology.com/aveweights.html&gt;.</t>
        </r>
      </text>
    </comment>
    <comment ref="C199" authorId="0" shapeId="0" xr:uid="{00000000-0006-0000-0100-000043000000}">
      <text>
        <r>
          <rPr>
            <sz val="9"/>
            <color rgb="FF000000"/>
            <rFont val="Calibri"/>
            <family val="2"/>
          </rPr>
          <t xml:space="preserve">"Transit Time / Distance Calculator." Transit Time, Distance Calculator &amp; Port to Port Distances. Web. &lt;http://www.searates.com/reference/portdistance/&gt;.
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"Three Major Pendulum Routes Serviced by OOCL, 2006." Three Major Pendulum Routes Serviced by OOCL, 2006. Web. &lt;http://people.hofstra.edu/geotrans/eng/ch3en/conc3en/ooclnax.html&gt;.</t>
        </r>
      </text>
    </comment>
    <comment ref="C201" authorId="0" shapeId="0" xr:uid="{00000000-0006-0000-0100-000044000000}">
      <text>
        <r>
          <rPr>
            <sz val="9"/>
            <color indexed="81"/>
            <rFont val="Calibri"/>
            <family val="2"/>
          </rPr>
          <t xml:space="preserve">Recycling for Climate Protection. Germany: Interseroh, 2008. Print.
</t>
        </r>
      </text>
    </comment>
    <comment ref="C202" authorId="0" shapeId="0" xr:uid="{00000000-0006-0000-0100-000045000000}">
      <text>
        <r>
          <rPr>
            <sz val="9"/>
            <color indexed="81"/>
            <rFont val="Calibri"/>
            <family val="2"/>
          </rPr>
          <t xml:space="preserve">Saurat, Mathieu, and Stefan Bringezu. “Platinum Group Metal Flows of Europe, Part I.” Journal of Industrial Ecology 12.5/6 (2008): 754–767. Print.
</t>
        </r>
      </text>
    </comment>
    <comment ref="C203" authorId="0" shapeId="0" xr:uid="{00000000-0006-0000-0100-000046000000}">
      <text>
        <r>
          <rPr>
            <sz val="9"/>
            <color rgb="FF000000"/>
            <rFont val="Calibri"/>
            <family val="2"/>
          </rPr>
          <t xml:space="preserve">Saurat, Mathieu, and Stefan Bringezu. “Platinum Group Metal Flows of Europe, Part I.” Journal of Industrial Ecology 12.5/6 (2008): 754–767. Print.
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C204" authorId="0" shapeId="0" xr:uid="{00000000-0006-0000-0100-000047000000}">
      <text>
        <r>
          <rPr>
            <sz val="9"/>
            <color indexed="81"/>
            <rFont val="Calibri"/>
            <family val="2"/>
          </rPr>
          <t xml:space="preserve">Saurat, Mathieu, and Stefan Bringezu. “Platinum Group Metal Flows of Europe, Part I.” Journal of Industrial Ecology 12.5/6 (2008): 754–767. Print.
</t>
        </r>
      </text>
    </comment>
    <comment ref="C205" authorId="0" shapeId="0" xr:uid="{00000000-0006-0000-0100-000048000000}">
      <text>
        <r>
          <rPr>
            <sz val="9"/>
            <color rgb="FF000000"/>
            <rFont val="Calibri"/>
            <family val="2"/>
          </rPr>
          <t xml:space="preserve">Recycling for Climate Protection. Germany: Interseroh, 2008. Print.
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C206" authorId="0" shapeId="0" xr:uid="{00000000-0006-0000-0100-000049000000}">
      <text>
        <r>
          <rPr>
            <sz val="9"/>
            <color rgb="FF000000"/>
            <rFont val="Calibri"/>
            <family val="2"/>
          </rPr>
          <t xml:space="preserve">Recycling for Climate Protection. Germany: Interseroh, 2008. Print.
</t>
        </r>
      </text>
    </comment>
    <comment ref="B234" authorId="0" shapeId="0" xr:uid="{00000000-0006-0000-0100-00004A000000}">
      <text>
        <r>
          <rPr>
            <sz val="9"/>
            <color indexed="81"/>
            <rFont val="Calibri"/>
            <family val="2"/>
          </rPr>
          <t>Greenhouse Gas Protocol. "Emission Factors from Cross-sector Tools". File last modified Aug 2012. Microsoft Excel file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Momoka Nakamura</author>
    <author>Microsoft Office User</author>
  </authors>
  <commentList>
    <comment ref="C9" authorId="0" shapeId="0" xr:uid="{00000000-0006-0000-0200-000001000000}">
      <text>
        <r>
          <rPr>
            <sz val="9"/>
            <color indexed="81"/>
            <rFont val="Calibri"/>
            <family val="2"/>
          </rPr>
          <t>Deng, Liqiu, Callie Babbitt, and Eric Williams. “Economic-balance Hybrid LCA Extended with Uncertainty Analysis: Case Study of a Laptop Computer.” Journal of Cleaner Production 19.11 (2011): 1198–1206. Print.</t>
        </r>
      </text>
    </comment>
    <comment ref="C10" authorId="0" shapeId="0" xr:uid="{00000000-0006-0000-0200-000002000000}">
      <text>
        <r>
          <rPr>
            <sz val="9"/>
            <color indexed="81"/>
            <rFont val="Calibri"/>
            <family val="2"/>
          </rPr>
          <t>US EPA, Abt Associates, inc., Dillion Environmental Associates, and UT. "Electronics Environmental Benefits Calculator version 2.0". File last modified Mar 2 2009. Microsoft Excel file</t>
        </r>
      </text>
    </comment>
    <comment ref="C11" authorId="0" shapeId="0" xr:uid="{00000000-0006-0000-0200-000003000000}">
      <text>
        <r>
          <rPr>
            <sz val="9"/>
            <color indexed="81"/>
            <rFont val="Calibri"/>
            <family val="2"/>
          </rPr>
          <t>US EPA, Abt Associates, inc., Dillion Environmental Associates, and UT. "Electronics Environmental Benefits Calculator version 2.0". File last modified Mar 2 2009. Microsoft Excel file</t>
        </r>
      </text>
    </comment>
    <comment ref="C12" authorId="0" shapeId="0" xr:uid="{00000000-0006-0000-0200-000004000000}">
      <text>
        <r>
          <rPr>
            <sz val="9"/>
            <color indexed="81"/>
            <rFont val="Calibri"/>
            <family val="2"/>
          </rPr>
          <t xml:space="preserve">US EPA. "Approach 2: Model 2". Microsoft Excel file
</t>
        </r>
      </text>
    </comment>
    <comment ref="C13" authorId="0" shapeId="0" xr:uid="{00000000-0006-0000-0200-000005000000}">
      <text>
        <r>
          <rPr>
            <sz val="9"/>
            <color indexed="81"/>
            <rFont val="Calibri"/>
            <family val="2"/>
          </rPr>
          <t>Deng, Liqiu, Callie Babbitt, and Eric Williams. “Economic-balance Hybrid LCA Extended with Uncertainty Analysis: Case Study of a Laptop Computer.” Journal of Cleaner Production 19.11 (2011): 1198–1206. Print.</t>
        </r>
      </text>
    </comment>
    <comment ref="C14" authorId="0" shapeId="0" xr:uid="{00000000-0006-0000-0200-000006000000}">
      <text>
        <r>
          <rPr>
            <sz val="9"/>
            <color indexed="81"/>
            <rFont val="Calibri"/>
            <family val="2"/>
          </rPr>
          <t>Deng, Liqiu, Callie Babbitt, and Eric Williams. “Economic-balance Hybrid LCA Extended with Uncertainty Analysis: Case Study of a Laptop Computer.” Journal of Cleaner Production 19.11 (2011): 1198–1206. Print.</t>
        </r>
      </text>
    </comment>
    <comment ref="C15" authorId="0" shapeId="0" xr:uid="{00000000-0006-0000-0200-000007000000}">
      <text>
        <r>
          <rPr>
            <sz val="9"/>
            <color indexed="81"/>
            <rFont val="Calibri"/>
            <family val="2"/>
          </rPr>
          <t>Wang, Xue, and Gabrielle Gaustad. “Prioritizing Material Recovery for End-of-life Printed Circuit Boards.” Waste Management 32.10 (2012): 1903–1913. Print.</t>
        </r>
      </text>
    </comment>
    <comment ref="C16" authorId="0" shapeId="0" xr:uid="{00000000-0006-0000-0200-000008000000}">
      <text>
        <r>
          <rPr>
            <sz val="9"/>
            <color indexed="81"/>
            <rFont val="Calibri"/>
            <family val="2"/>
          </rPr>
          <t>Deng, Liqiu, Callie Babbitt, and Eric Williams. “Economic-balance Hybrid LCA Extended with Uncertainty Analysis: Case Study of a Laptop Computer.” Journal of Cleaner Production 19.11 (2011): 1198–1206. Print.</t>
        </r>
      </text>
    </comment>
    <comment ref="C17" authorId="0" shapeId="0" xr:uid="{00000000-0006-0000-0200-000009000000}">
      <text>
        <r>
          <rPr>
            <sz val="9"/>
            <color indexed="81"/>
            <rFont val="Calibri"/>
            <family val="2"/>
          </rPr>
          <t>Deng, Liqiu, Callie Babbitt, and Eric Williams. “Economic-balance Hybrid LCA Extended with Uncertainty Analysis: Case Study of a Laptop Computer.” Journal of Cleaner Production 19.11 (2011): 1198–1206. Print.</t>
        </r>
      </text>
    </comment>
    <comment ref="C18" authorId="0" shapeId="0" xr:uid="{00000000-0006-0000-0200-00000A000000}">
      <text>
        <r>
          <rPr>
            <sz val="9"/>
            <color indexed="81"/>
            <rFont val="Calibri"/>
            <family val="2"/>
          </rPr>
          <t xml:space="preserve">Deng, Liqiu, Callie Babbitt, and Eric Williams. “Economic-balance Hybrid LCA Extended with Uncertainty Analysis: Case Study of a Laptop Computer.” Journal of Cleaner Production 19.11 (2011): 1198–1206. Print.
</t>
        </r>
      </text>
    </comment>
    <comment ref="F20" authorId="0" shapeId="0" xr:uid="{00000000-0006-0000-0200-00000B000000}">
      <text>
        <r>
          <rPr>
            <sz val="9"/>
            <color indexed="81"/>
            <rFont val="Calibri"/>
            <family val="2"/>
          </rPr>
          <t>Deng, Liqiu, Callie Babbitt, and Eric Williams. “Economic-balance Hybrid LCA Extended with Uncertainty Analysis: Case Study of a Laptop Computer.” Journal of Cleaner Production 19.11 (2011): 1198–1206. Print.</t>
        </r>
      </text>
    </comment>
    <comment ref="C33" authorId="0" shapeId="0" xr:uid="{00000000-0006-0000-0200-00000C000000}">
      <text>
        <r>
          <rPr>
            <sz val="9"/>
            <color rgb="FF000000"/>
            <rFont val="Calibri"/>
            <family val="2"/>
          </rPr>
          <t xml:space="preserve">Electronic Industries Alliance. "Lead in Cathode Ray Tubes (CRTs) Information Sheet." Print. </t>
        </r>
      </text>
    </comment>
    <comment ref="C35" authorId="0" shapeId="0" xr:uid="{00000000-0006-0000-0200-00000D000000}">
      <text>
        <r>
          <rPr>
            <sz val="9"/>
            <color rgb="FF000000"/>
            <rFont val="Calibri"/>
            <family val="2"/>
          </rPr>
          <t xml:space="preserve">US EPA. "Approach 2: Model 2". Microsoft Excel file
</t>
        </r>
      </text>
    </comment>
    <comment ref="C36" authorId="0" shapeId="0" xr:uid="{00000000-0006-0000-0200-00000E000000}">
      <text>
        <r>
          <rPr>
            <sz val="9"/>
            <color rgb="FF000000"/>
            <rFont val="Calibri"/>
            <family val="2"/>
          </rPr>
          <t>Wang, Xue, and Gabrielle Gaustad. “Prioritizing Material Recovery for End-of-life Printed Circuit Boards.” Waste Management 32.10 (2012): 1903–1913. Print.</t>
        </r>
      </text>
    </comment>
    <comment ref="C37" authorId="0" shapeId="0" xr:uid="{00000000-0006-0000-0200-00000F000000}">
      <text>
        <r>
          <rPr>
            <sz val="9"/>
            <color rgb="FF000000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38" authorId="0" shapeId="0" xr:uid="{00000000-0006-0000-0200-000010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39" authorId="0" shapeId="0" xr:uid="{00000000-0006-0000-0200-000011000000}">
      <text>
        <r>
          <rPr>
            <sz val="9"/>
            <color indexed="81"/>
            <rFont val="Calibri"/>
            <family val="2"/>
          </rPr>
          <t>Wang, Xue, and Gabrielle Gaustad. “Prioritizing Material Recovery for End-of-life Printed Circuit Boards.” Waste Management 32.10 (2012): 1903–1913. Print.</t>
        </r>
      </text>
    </comment>
    <comment ref="C40" authorId="0" shapeId="0" xr:uid="{00000000-0006-0000-0200-000012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41" authorId="0" shapeId="0" xr:uid="{00000000-0006-0000-0200-000013000000}">
      <text>
        <r>
          <rPr>
            <sz val="9"/>
            <color rgb="FF000000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42" authorId="0" shapeId="0" xr:uid="{00000000-0006-0000-0200-000014000000}">
      <text>
        <r>
          <rPr>
            <sz val="9"/>
            <color indexed="81"/>
            <rFont val="Calibri"/>
            <family val="2"/>
          </rPr>
          <t>“EPA DFE Monitor Life Cycle Inventory Report.” 1-162. Print.</t>
        </r>
      </text>
    </comment>
    <comment ref="F44" authorId="0" shapeId="0" xr:uid="{00000000-0006-0000-0200-000015000000}">
      <text>
        <r>
          <rPr>
            <sz val="9"/>
            <color indexed="81"/>
            <rFont val="Calibri"/>
            <family val="2"/>
          </rPr>
          <t>US EPA. "Approach 2: Model 2". Microsoft Excel file</t>
        </r>
      </text>
    </comment>
    <comment ref="C57" authorId="0" shapeId="0" xr:uid="{00000000-0006-0000-0200-000016000000}">
      <text>
        <r>
          <rPr>
            <sz val="9"/>
            <color indexed="81"/>
            <rFont val="Calibri"/>
            <family val="2"/>
          </rPr>
          <t>US EPA. "Approach 2: Model 2". Microsoft Excel file</t>
        </r>
      </text>
    </comment>
    <comment ref="C60" authorId="0" shapeId="0" xr:uid="{00000000-0006-0000-0200-000017000000}">
      <text>
        <r>
          <rPr>
            <sz val="9"/>
            <color indexed="81"/>
            <rFont val="Calibri"/>
            <family val="2"/>
          </rPr>
          <t xml:space="preserve">US EPA. "Approach 2: Model 2". Microsoft Excel file
</t>
        </r>
      </text>
    </comment>
    <comment ref="C61" authorId="0" shapeId="0" xr:uid="{00000000-0006-0000-0200-000018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62" authorId="0" shapeId="0" xr:uid="{00000000-0006-0000-0200-000019000000}">
      <text>
        <r>
          <rPr>
            <sz val="9"/>
            <color indexed="81"/>
            <rFont val="Calibri"/>
            <family val="2"/>
          </rPr>
          <t>US EPA. "Approach 2: Model 2". Microsoft Excel file</t>
        </r>
      </text>
    </comment>
    <comment ref="C63" authorId="0" shapeId="0" xr:uid="{00000000-0006-0000-0200-00001A000000}">
      <text>
        <r>
          <rPr>
            <sz val="9"/>
            <color indexed="81"/>
            <rFont val="Calibri"/>
            <family val="2"/>
          </rPr>
          <t>Wang, Xue, and Gabrielle Gaustad. “Prioritizing Material Recovery for End-of-life Printed Circuit Boards.” Waste Management 32.10 (2012): 1903–1913. Print.</t>
        </r>
      </text>
    </comment>
    <comment ref="C64" authorId="0" shapeId="0" xr:uid="{00000000-0006-0000-0200-00001B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65" authorId="0" shapeId="0" xr:uid="{00000000-0006-0000-0200-00001C000000}">
      <text>
        <r>
          <rPr>
            <sz val="9"/>
            <color indexed="81"/>
            <rFont val="Calibri"/>
            <family val="2"/>
          </rPr>
          <t xml:space="preserve">US EPA. "Approach 2: Model 2". Microsoft Excel file
</t>
        </r>
      </text>
    </comment>
    <comment ref="C66" authorId="0" shapeId="0" xr:uid="{00000000-0006-0000-0200-00001D000000}">
      <text>
        <r>
          <rPr>
            <sz val="9"/>
            <color indexed="81"/>
            <rFont val="Calibri"/>
            <family val="2"/>
          </rPr>
          <t>US EPA. "Approach 2: Model 2". Microsoft Excel file</t>
        </r>
      </text>
    </comment>
    <comment ref="F68" authorId="0" shapeId="0" xr:uid="{00000000-0006-0000-0200-00001E000000}">
      <text>
        <r>
          <rPr>
            <sz val="9"/>
            <color indexed="81"/>
            <rFont val="Calibri"/>
            <family val="2"/>
          </rPr>
          <t>"Weight." A Knowledge Base for the Sustainable Recycling of E-Waste. Web. &lt;http://ewasteguide.info/node/4065&gt;.</t>
        </r>
      </text>
    </comment>
    <comment ref="C81" authorId="0" shapeId="0" xr:uid="{00000000-0006-0000-0200-00001F000000}">
      <text>
        <r>
          <rPr>
            <sz val="9"/>
            <color indexed="81"/>
            <rFont val="Calibri"/>
            <family val="2"/>
          </rPr>
          <t>Determination of Regulated Elements in Discarded Laptop Computers, LCD Monitors, Plasma TVs and LCD TVsv. California Department of Toxic Substances Control, 2004.</t>
        </r>
      </text>
    </comment>
    <comment ref="C82" authorId="0" shapeId="0" xr:uid="{00000000-0006-0000-0200-000020000000}">
      <text>
        <r>
          <rPr>
            <sz val="9"/>
            <color indexed="81"/>
            <rFont val="Calibri"/>
            <family val="2"/>
          </rPr>
          <t>Milovantseva, Natalia, and Jean-Daniel Saphores. “Time Bomb or Hidden Treasure? Characteristics of Junk TVs and of the US Households Who Store Them.” Waste Management 33.3 (2013): 519–529. Print.</t>
        </r>
      </text>
    </comment>
    <comment ref="C83" authorId="0" shapeId="0" xr:uid="{00000000-0006-0000-0200-000021000000}">
      <text>
        <r>
          <rPr>
            <sz val="9"/>
            <color indexed="81"/>
            <rFont val="Calibri"/>
            <family val="2"/>
          </rPr>
          <t>Milovantseva, Natalia, and Jean-Daniel Saphores. “Time Bomb or Hidden Treasure? Characteristics of Junk TVs and of the US Households Who Store Them.” Waste Management 33.3 (2013): 519–529. Print.</t>
        </r>
      </text>
    </comment>
    <comment ref="C84" authorId="0" shapeId="0" xr:uid="{00000000-0006-0000-0200-000022000000}">
      <text>
        <r>
          <rPr>
            <sz val="9"/>
            <color indexed="81"/>
            <rFont val="Calibri"/>
            <family val="2"/>
          </rPr>
          <t>US EPA. "Approach 2: Model 2". Microsoft Excel file</t>
        </r>
      </text>
    </comment>
    <comment ref="C85" authorId="0" shapeId="0" xr:uid="{00000000-0006-0000-0200-000023000000}">
      <text>
        <r>
          <rPr>
            <sz val="9"/>
            <color rgb="FF000000"/>
            <rFont val="Calibri"/>
            <family val="2"/>
          </rPr>
          <t>Determination of Regulated Elements in Discarded Laptop Computers, LCD Monitors, Plasma TVs and LCD TVsv. California Department of Toxic Substances Control, 2004.</t>
        </r>
      </text>
    </comment>
    <comment ref="C86" authorId="0" shapeId="0" xr:uid="{00000000-0006-0000-0200-000024000000}">
      <text>
        <r>
          <rPr>
            <sz val="9"/>
            <color indexed="81"/>
            <rFont val="Calibri"/>
            <family val="2"/>
          </rPr>
          <t>Buchert, Matthias et al. Recycling Critical Raw Materials from Waste Electronic Equipment. North Rhine-Westphalia State Agency for Nature, Environment and Consumer Protection, 2012.</t>
        </r>
      </text>
    </comment>
    <comment ref="C87" authorId="0" shapeId="0" xr:uid="{00000000-0006-0000-0200-000025000000}">
      <text>
        <r>
          <rPr>
            <sz val="9"/>
            <color indexed="81"/>
            <rFont val="Calibri"/>
            <family val="2"/>
          </rPr>
          <t>Wang, Xue, and Gabrielle Gaustad. “Prioritizing Material Recovery for End-of-life Printed Circuit Boards.” Waste Management 32.10 (2012): 1903–1913. Print.</t>
        </r>
      </text>
    </comment>
    <comment ref="C89" authorId="0" shapeId="0" xr:uid="{00000000-0006-0000-0200-000026000000}">
      <text>
        <r>
          <rPr>
            <sz val="9"/>
            <color indexed="81"/>
            <rFont val="Calibri"/>
            <family val="2"/>
          </rPr>
          <t>US EPA. "Approach 2: Model 2". Microsoft Excel file</t>
        </r>
      </text>
    </comment>
    <comment ref="C90" authorId="0" shapeId="0" xr:uid="{00000000-0006-0000-0200-000027000000}">
      <text>
        <r>
          <rPr>
            <sz val="9"/>
            <color indexed="81"/>
            <rFont val="Calibri"/>
            <family val="2"/>
          </rPr>
          <t>“EPA DFE Monitor Life Cycle Inventory Report.” 1-162. Print.</t>
        </r>
      </text>
    </comment>
    <comment ref="F92" authorId="0" shapeId="0" xr:uid="{00000000-0006-0000-0200-000028000000}">
      <text>
        <r>
          <rPr>
            <sz val="9"/>
            <color indexed="81"/>
            <rFont val="Calibri"/>
            <family val="2"/>
          </rPr>
          <t>Determination of Regulated Elements in Discarded Laptop Computers, LCD Monitors, Plasma TVs and LCD TVsv. California Department of Toxic Substances Control, 2004.</t>
        </r>
      </text>
    </comment>
    <comment ref="C105" authorId="0" shapeId="0" xr:uid="{00000000-0006-0000-0200-000029000000}">
      <text>
        <r>
          <rPr>
            <sz val="9"/>
            <color indexed="81"/>
            <rFont val="Calibri"/>
            <family val="2"/>
          </rPr>
          <t>Pant, Deepak et al. “Chemical and Biological Extraction of Metals Present in E Waste: A Hybrid Technology.” Waste Management 32.5 (2012): 979–990.</t>
        </r>
      </text>
    </comment>
    <comment ref="C106" authorId="0" shapeId="0" xr:uid="{00000000-0006-0000-0200-00002A000000}">
      <text>
        <r>
          <rPr>
            <sz val="9"/>
            <color indexed="81"/>
            <rFont val="Calibri"/>
            <family val="2"/>
          </rPr>
          <t>Wu, B et al. “Assessment of Toxicity Potential of Metallic Elements in Discarded Electronics: A Case Study of Mobile Phones in China.” Journal of Environmental Sciences 20.11 (2008): 1403–1408. Print.</t>
        </r>
      </text>
    </comment>
    <comment ref="C107" authorId="0" shapeId="0" xr:uid="{00000000-0006-0000-0200-00002B000000}">
      <text>
        <r>
          <rPr>
            <sz val="9"/>
            <color indexed="81"/>
            <rFont val="Calibri"/>
            <family val="2"/>
          </rPr>
          <t>Wu, B et al. “Assessment of Toxicity Potential of Metallic Elements in Discarded Electronics: A Case Study of Mobile Phones in China.” Journal of Environmental Sciences 20.11 (2008): 1403–1408. Print.</t>
        </r>
      </text>
    </comment>
    <comment ref="C108" authorId="0" shapeId="0" xr:uid="{00000000-0006-0000-0200-00002C000000}">
      <text>
        <r>
          <rPr>
            <sz val="9"/>
            <color indexed="81"/>
            <rFont val="Calibri"/>
            <family val="2"/>
          </rPr>
          <t>Wang, Xue, and Gabrielle Gaustad. “Prioritizing Material Recovery for End-of-life Printed Circuit Boards.” Waste Management 32.10 (2012): 1903–1913. Print.</t>
        </r>
      </text>
    </comment>
    <comment ref="C109" authorId="0" shapeId="0" xr:uid="{00000000-0006-0000-0200-00002D000000}">
      <text>
        <r>
          <rPr>
            <sz val="9"/>
            <color indexed="81"/>
            <rFont val="Calibri"/>
            <family val="2"/>
          </rPr>
          <t>Sullivan, Daniel. Recycled Cell Phones—A Treasure Trove of Valuable Metals. US Geological Survey, 2006. Print.</t>
        </r>
      </text>
    </comment>
    <comment ref="C110" authorId="0" shapeId="0" xr:uid="{00000000-0006-0000-0200-00002E000000}">
      <text>
        <r>
          <rPr>
            <sz val="9"/>
            <color indexed="81"/>
            <rFont val="Calibri"/>
            <family val="2"/>
          </rPr>
          <t>Sullivan, Daniel. Recycled Cell Phones—A Treasure Trove of Valuable Metals. US Geological Survey, 2006. Print.
Pant, Deepak et al. “Chemical and Biological Extraction of Metals Present in E Waste: A Hybrid Technology.” Waste Management 32.5 (2012): 979–990.</t>
        </r>
      </text>
    </comment>
    <comment ref="C111" authorId="0" shapeId="0" xr:uid="{00000000-0006-0000-0200-00002F000000}">
      <text>
        <r>
          <rPr>
            <sz val="9"/>
            <color indexed="81"/>
            <rFont val="Calibri"/>
            <family val="2"/>
          </rPr>
          <t>Sullivan, Daniel. Recycled Cell Phones—A Treasure Trove of Valuable Metals. US Geological Survey, 2006. Print.</t>
        </r>
      </text>
    </comment>
    <comment ref="C112" authorId="0" shapeId="0" xr:uid="{00000000-0006-0000-0200-000030000000}">
      <text>
        <r>
          <rPr>
            <sz val="9"/>
            <color indexed="81"/>
            <rFont val="Calibri"/>
            <family val="2"/>
          </rPr>
          <t>Buchert, Matthias et al. Recycling Critical Raw Materials from Waste Electronic Equipment. North Rhine-Westphalia State Agency for Nature, Environment and Consumer Protection, 2012.
Sullivan, Daniel. Recycled Cell Phones—A Treasure Trove of Valuable Metals. US Geological Survey, 2006. Print.</t>
        </r>
      </text>
    </comment>
    <comment ref="C113" authorId="0" shapeId="0" xr:uid="{00000000-0006-0000-0200-000031000000}">
      <text>
        <r>
          <rPr>
            <sz val="9"/>
            <color indexed="81"/>
            <rFont val="Calibri"/>
            <family val="2"/>
          </rPr>
          <t>Pant, Deepak et al. “Chemical and Biological Extraction of Metals Present in E Waste: A Hybrid Technology.” Waste Management 32.5 (2012): 979–990.</t>
        </r>
      </text>
    </comment>
    <comment ref="C114" authorId="0" shapeId="0" xr:uid="{00000000-0006-0000-0200-000032000000}">
      <text>
        <r>
          <rPr>
            <sz val="9"/>
            <color indexed="81"/>
            <rFont val="Calibri"/>
            <family val="2"/>
          </rPr>
          <t>US EPA, Abt Associates, inc., Dillion Environmental Associates, and UT. "Electronics Environmental Benefits Calculator version 2.0". File last modified Mar 2 2009. Microsoft Excel file</t>
        </r>
      </text>
    </comment>
    <comment ref="F116" authorId="0" shapeId="0" xr:uid="{00000000-0006-0000-0200-000033000000}">
      <text>
        <r>
          <rPr>
            <sz val="9"/>
            <color indexed="81"/>
            <rFont val="Calibri"/>
            <family val="2"/>
          </rPr>
          <t>Sullivan, Daniel. Recycled Cell Phones—A Treasure Trove of Valuable Metals. US Geological Survey, 2006. Print.</t>
        </r>
      </text>
    </comment>
    <comment ref="C129" authorId="0" shapeId="0" xr:uid="{00000000-0006-0000-0200-000034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31" authorId="0" shapeId="0" xr:uid="{00000000-0006-0000-0200-000035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32" authorId="0" shapeId="0" xr:uid="{00000000-0006-0000-0200-000036000000}">
      <text>
        <r>
          <rPr>
            <sz val="9"/>
            <color rgb="FF000000"/>
            <rFont val="Calibri"/>
            <family val="2"/>
          </rPr>
          <t>Wang, Xue, and Gabrielle Gaustad. “Prioritizing Material Recovery for End-of-life Printed Circuit Boards.” Waste Management 32.10 (2012): 1903–1913. Print.</t>
        </r>
      </text>
    </comment>
    <comment ref="C133" authorId="0" shapeId="0" xr:uid="{00000000-0006-0000-0200-000037000000}">
      <text>
        <r>
          <rPr>
            <sz val="9"/>
            <color rgb="FF000000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34" authorId="0" shapeId="0" xr:uid="{00000000-0006-0000-0200-000038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35" authorId="0" shapeId="0" xr:uid="{00000000-0006-0000-0200-000039000000}">
      <text>
        <r>
          <rPr>
            <sz val="9"/>
            <color indexed="81"/>
            <rFont val="Calibri"/>
            <family val="2"/>
          </rPr>
          <t>Wang, Xue, and Gabrielle Gaustad. “Prioritizing Material Recovery for End-of-life Printed Circuit Boards.” Waste Management 32.10 (2012): 1903–1913. Print.</t>
        </r>
      </text>
    </comment>
    <comment ref="C136" authorId="0" shapeId="0" xr:uid="{00000000-0006-0000-0200-00003A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37" authorId="0" shapeId="0" xr:uid="{00000000-0006-0000-0200-00003B000000}">
      <text>
        <r>
          <rPr>
            <sz val="9"/>
            <color rgb="FF000000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F140" authorId="0" shapeId="0" xr:uid="{00000000-0006-0000-0200-00003C000000}">
      <text>
        <r>
          <rPr>
            <sz val="9"/>
            <color rgb="FF000000"/>
            <rFont val="Calibri"/>
            <family val="2"/>
          </rPr>
          <t xml:space="preserve">Electronics Waste Management in the United States Through 2009. US EPA, 2011.
</t>
        </r>
      </text>
    </comment>
    <comment ref="C157" authorId="1" shapeId="0" xr:uid="{1B52F3B1-81F0-3B4B-A14B-0B86E1E30B48}">
      <text>
        <r>
          <rPr>
            <sz val="10"/>
            <color rgb="FF000000"/>
            <rFont val="Calibri"/>
            <scheme val="minor"/>
          </rPr>
          <t>Ruby Thuy Nguyen, Luis A. Diaz, D. Devin Imholte, Tedd E. Lister et al. "Economic Assessment for Recycling Critical Metals from Hard Disk Drives Using a Comprehensive Recovery Process."</t>
        </r>
      </text>
    </comment>
    <comment ref="C158" authorId="1" shapeId="0" xr:uid="{3C818C14-B213-2842-8EF5-C04078A0801A}">
      <text>
        <r>
          <rPr>
            <sz val="10"/>
            <color rgb="FF000000"/>
            <rFont val="Tahoma"/>
            <family val="2"/>
          </rPr>
          <t>Ruby Thuy Nguyen, Luis A. Diaz, D. Devin Imholte, Tedd E. Lister et al. "Economic Assessment for Recycling Critical Metals from Hard Disk Drives Using a Comprehensive Recovery Process."</t>
        </r>
      </text>
    </comment>
    <comment ref="C160" authorId="1" shapeId="0" xr:uid="{B0C70673-43A6-C74A-B0C2-8359A80C56BC}">
      <text>
        <r>
          <rPr>
            <sz val="10"/>
            <color rgb="FF000000"/>
            <rFont val="Tahoma"/>
            <family val="2"/>
          </rPr>
          <t>Ruby Thuy Nguyen, Luis A. Diaz, D. Devin Imholte, Tedd E. Lister et al. "Economic Assessment for Recycling Critical Metals from Hard Disk Drives Using a Comprehensive Recovery Process."</t>
        </r>
      </text>
    </comment>
    <comment ref="C161" authorId="1" shapeId="0" xr:uid="{96449362-7EA9-EA4D-AD91-D4F850713572}">
      <text>
        <r>
          <rPr>
            <sz val="10"/>
            <color rgb="FF000000"/>
            <rFont val="Tahoma"/>
            <family val="2"/>
          </rPr>
          <t>Ruby Thuy Nguyen, Luis A. Diaz, D. Devin Imholte, Tedd E. Lister et al. "Economic Assessment for Recycling Critical Metals from Hard Disk Drives Using a Comprehensive Recovery Process."</t>
        </r>
      </text>
    </comment>
    <comment ref="C177" authorId="0" shapeId="0" xr:uid="{00000000-0006-0000-0200-00003D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81" authorId="0" shapeId="0" xr:uid="{00000000-0006-0000-0200-00003E000000}">
      <text>
        <r>
          <rPr>
            <sz val="9"/>
            <color rgb="FF000000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82" authorId="0" shapeId="0" xr:uid="{00000000-0006-0000-0200-00003F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84" authorId="0" shapeId="0" xr:uid="{00000000-0006-0000-0200-000040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C185" authorId="0" shapeId="0" xr:uid="{00000000-0006-0000-0200-000041000000}">
      <text>
        <r>
          <rPr>
            <sz val="9"/>
            <color indexed="81"/>
            <rFont val="Calibri"/>
            <family val="2"/>
          </rPr>
          <t>Oguchi, Masahi et al. “A Preliminary Categorization of End-of-life Electrical and Electronic Equipment as Secondary Metal Resources.” Waste Management 31.9-10 (2011): 2150–2160. Print.</t>
        </r>
      </text>
    </comment>
    <comment ref="F188" authorId="0" shapeId="0" xr:uid="{00000000-0006-0000-0200-000042000000}">
      <text>
        <r>
          <rPr>
            <sz val="9"/>
            <color rgb="FF000000"/>
            <rFont val="Calibri"/>
            <family val="2"/>
          </rPr>
          <t>"Average E-Waste Weights." 3R Technology. &lt;http://www.3rtechnology.com/aveweights.html&gt;.</t>
        </r>
      </text>
    </comment>
    <comment ref="C199" authorId="0" shapeId="0" xr:uid="{00000000-0006-0000-0200-000043000000}">
      <text>
        <r>
          <rPr>
            <sz val="9"/>
            <color rgb="FF000000"/>
            <rFont val="Calibri"/>
            <family val="2"/>
          </rPr>
          <t xml:space="preserve">"Transit Time / Distance Calculator." Transit Time, Distance Calculator &amp; Port to Port Distances. Web. &lt;http://www.searates.com/reference/portdistance/&gt;.
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"Three Major Pendulum Routes Serviced by OOCL, 2006." Three Major Pendulum Routes Serviced by OOCL, 2006. Web. &lt;http://people.hofstra.edu/geotrans/eng/ch3en/conc3en/ooclnax.html&gt;.</t>
        </r>
      </text>
    </comment>
    <comment ref="C201" authorId="0" shapeId="0" xr:uid="{00000000-0006-0000-0200-000044000000}">
      <text>
        <r>
          <rPr>
            <sz val="9"/>
            <color indexed="81"/>
            <rFont val="Calibri"/>
            <family val="2"/>
          </rPr>
          <t xml:space="preserve">Recycling for Climate Protection. Germany: Interseroh, 2008. Print.
</t>
        </r>
      </text>
    </comment>
    <comment ref="C202" authorId="0" shapeId="0" xr:uid="{00000000-0006-0000-0200-000045000000}">
      <text>
        <r>
          <rPr>
            <sz val="9"/>
            <color indexed="81"/>
            <rFont val="Calibri"/>
            <family val="2"/>
          </rPr>
          <t xml:space="preserve">Saurat, Mathieu, and Stefan Bringezu. “Platinum Group Metal Flows of Europe, Part I.” Journal of Industrial Ecology 12.5/6 (2008): 754–767. Print.
</t>
        </r>
      </text>
    </comment>
    <comment ref="C203" authorId="0" shapeId="0" xr:uid="{00000000-0006-0000-0200-000046000000}">
      <text>
        <r>
          <rPr>
            <sz val="9"/>
            <color indexed="81"/>
            <rFont val="Calibri"/>
            <family val="2"/>
          </rPr>
          <t xml:space="preserve">Saurat, Mathieu, and Stefan Bringezu. “Platinum Group Metal Flows of Europe, Part I.” Journal of Industrial Ecology 12.5/6 (2008): 754–767. Print.
</t>
        </r>
      </text>
    </comment>
    <comment ref="C204" authorId="0" shapeId="0" xr:uid="{00000000-0006-0000-0200-000047000000}">
      <text>
        <r>
          <rPr>
            <sz val="9"/>
            <color indexed="81"/>
            <rFont val="Calibri"/>
            <family val="2"/>
          </rPr>
          <t xml:space="preserve">Saurat, Mathieu, and Stefan Bringezu. “Platinum Group Metal Flows of Europe, Part I.” Journal of Industrial Ecology 12.5/6 (2008): 754–767. Print.
</t>
        </r>
      </text>
    </comment>
    <comment ref="C205" authorId="0" shapeId="0" xr:uid="{00000000-0006-0000-0200-000048000000}">
      <text>
        <r>
          <rPr>
            <sz val="9"/>
            <color indexed="81"/>
            <rFont val="Calibri"/>
            <family val="2"/>
          </rPr>
          <t xml:space="preserve">Recycling for Climate Protection. Germany: Interseroh, 2008. Print.
</t>
        </r>
      </text>
    </comment>
    <comment ref="C206" authorId="0" shapeId="0" xr:uid="{00000000-0006-0000-0200-000049000000}">
      <text>
        <r>
          <rPr>
            <sz val="9"/>
            <color indexed="81"/>
            <rFont val="Calibri"/>
            <family val="2"/>
          </rPr>
          <t xml:space="preserve">Recycling for Climate Protection. Germany: Interseroh, 2008. Print.
</t>
        </r>
      </text>
    </comment>
    <comment ref="B231" authorId="0" shapeId="0" xr:uid="{00000000-0006-0000-0200-00004A000000}">
      <text>
        <r>
          <rPr>
            <sz val="9"/>
            <color indexed="81"/>
            <rFont val="Calibri"/>
            <family val="2"/>
          </rPr>
          <t>Greenhouse Gas Protocol. "Emission Factors from Cross-sector Tools". File last modified Aug 2012. Microsoft Excel file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Momoka Nakamura</author>
  </authors>
  <commentList>
    <comment ref="A29" authorId="0" shapeId="0" xr:uid="{00000000-0006-0000-0300-000001000000}">
      <text>
        <r>
          <rPr>
            <sz val="9"/>
            <color rgb="FF000000"/>
            <rFont val="Calibri"/>
            <family val="2"/>
          </rPr>
          <t xml:space="preserve">Electronic Industries Alliance. "Lead in Cathode Ray Tubes (CRTs) Information Sheet." Print. </t>
        </r>
      </text>
    </comment>
  </commentList>
</comments>
</file>

<file path=xl/sharedStrings.xml><?xml version="1.0" encoding="utf-8"?>
<sst xmlns="http://schemas.openxmlformats.org/spreadsheetml/2006/main" count="1119" uniqueCount="157">
  <si>
    <t>Criteria</t>
  </si>
  <si>
    <t>Quantity</t>
  </si>
  <si>
    <t>Unit</t>
  </si>
  <si>
    <t>Attribute (averages per unit)</t>
  </si>
  <si>
    <t>Mobile Phones</t>
  </si>
  <si>
    <t>Units Recycled (estimate)</t>
  </si>
  <si>
    <t>Platinum</t>
  </si>
  <si>
    <t>Palladium</t>
  </si>
  <si>
    <t>Copper</t>
  </si>
  <si>
    <t>Gold</t>
  </si>
  <si>
    <t>Conversions</t>
  </si>
  <si>
    <t>=</t>
  </si>
  <si>
    <t>pound (lb.)</t>
  </si>
  <si>
    <t>pounds (lbs.)</t>
  </si>
  <si>
    <t>Arsenic</t>
  </si>
  <si>
    <t>Aluminum</t>
  </si>
  <si>
    <t xml:space="preserve">Lead </t>
  </si>
  <si>
    <t xml:space="preserve">Mercury </t>
  </si>
  <si>
    <t xml:space="preserve">Cadmium </t>
  </si>
  <si>
    <t>Steel</t>
  </si>
  <si>
    <t>Strategic and other metals recovered</t>
  </si>
  <si>
    <t>GHG reduced</t>
  </si>
  <si>
    <t>Amount (lbs.)</t>
  </si>
  <si>
    <t>Recovered</t>
  </si>
  <si>
    <t>kg</t>
  </si>
  <si>
    <t>Laptop</t>
  </si>
  <si>
    <t>Amount (kg)</t>
  </si>
  <si>
    <t>Average unit weight (kg)</t>
  </si>
  <si>
    <t>Average unit weight (tons)</t>
  </si>
  <si>
    <t>kilo grams (kg)</t>
  </si>
  <si>
    <t>Laptops recycled (kg)</t>
  </si>
  <si>
    <t>Percentage of total e-waste (% by wt)</t>
  </si>
  <si>
    <t>Mobile phones recycled (kg)</t>
  </si>
  <si>
    <t>lbs.</t>
  </si>
  <si>
    <t>GHG emission reduced</t>
  </si>
  <si>
    <t>Summary</t>
  </si>
  <si>
    <t>Total reduced environmental impacts</t>
  </si>
  <si>
    <t xml:space="preserve">Total stretegic and other metals recovered </t>
  </si>
  <si>
    <t>Emission Factor</t>
  </si>
  <si>
    <t>mile</t>
  </si>
  <si>
    <t xml:space="preserve">short ton </t>
  </si>
  <si>
    <t>long ton</t>
  </si>
  <si>
    <t>kilo meters (km)</t>
  </si>
  <si>
    <r>
      <t xml:space="preserve">Pant, Deepak et al. “Chemical and Biological Extraction of Metals Present in E Waste: A Hybrid Technology.” </t>
    </r>
    <r>
      <rPr>
        <i/>
        <sz val="12"/>
        <color theme="1"/>
        <rFont val="Calibri"/>
        <scheme val="minor"/>
      </rPr>
      <t>Waste Management</t>
    </r>
    <r>
      <rPr>
        <sz val="12"/>
        <color theme="1"/>
        <rFont val="Calibri"/>
        <family val="2"/>
        <scheme val="minor"/>
      </rPr>
      <t xml:space="preserve"> 32.5 (2012): 979–990.</t>
    </r>
  </si>
  <si>
    <r>
      <t xml:space="preserve">Lee, Ching-Hwa et al. “Management of Scrap Computer Recycling in Taiwan.” </t>
    </r>
    <r>
      <rPr>
        <i/>
        <sz val="12"/>
        <color theme="1"/>
        <rFont val="Calibri"/>
        <scheme val="minor"/>
      </rPr>
      <t>Journal of Hazardous Materials</t>
    </r>
    <r>
      <rPr>
        <sz val="12"/>
        <color theme="1"/>
        <rFont val="Calibri"/>
        <family val="2"/>
        <scheme val="minor"/>
      </rPr>
      <t xml:space="preserve"> 73.3 (2000): 209–220. Print.</t>
    </r>
  </si>
  <si>
    <r>
      <t xml:space="preserve">Deng, Liqiu, Callie Babbitt, and Eric Williams. “Economic-balance Hybrid LCA Extended with Uncertainty Analysis: Case Study of a Laptop Computer.” </t>
    </r>
    <r>
      <rPr>
        <i/>
        <sz val="12"/>
        <color theme="1"/>
        <rFont val="Calibri"/>
        <scheme val="minor"/>
      </rPr>
      <t>Journal of Cleaner Production</t>
    </r>
    <r>
      <rPr>
        <sz val="12"/>
        <color theme="1"/>
        <rFont val="Calibri"/>
        <family val="2"/>
        <scheme val="minor"/>
      </rPr>
      <t xml:space="preserve"> 19.11 (2011): 1198–1206. Print.</t>
    </r>
  </si>
  <si>
    <r>
      <t xml:space="preserve">Wu, B et al. “Assessment of Toxicity Potential of Metallic Elements in Discarded Electronics: A Case Study of Mobile Phones in China.” </t>
    </r>
    <r>
      <rPr>
        <i/>
        <sz val="12"/>
        <color theme="1"/>
        <rFont val="Calibri"/>
        <scheme val="minor"/>
      </rPr>
      <t>Journal of Environmental Sciences</t>
    </r>
    <r>
      <rPr>
        <sz val="12"/>
        <color theme="1"/>
        <rFont val="Calibri"/>
        <family val="2"/>
        <scheme val="minor"/>
      </rPr>
      <t xml:space="preserve"> 20.11 (2008): 1403–1408. Print.</t>
    </r>
  </si>
  <si>
    <r>
      <t xml:space="preserve">Oguchi, Masahi et al. “A Preliminary Categorization of End-of-life Electrical and Electronic Equipment as Secondary Metal Resources.” </t>
    </r>
    <r>
      <rPr>
        <i/>
        <sz val="12"/>
        <color theme="1"/>
        <rFont val="Calibri"/>
        <scheme val="minor"/>
      </rPr>
      <t>Waste Management</t>
    </r>
    <r>
      <rPr>
        <sz val="12"/>
        <color theme="1"/>
        <rFont val="Calibri"/>
        <family val="2"/>
        <scheme val="minor"/>
      </rPr>
      <t xml:space="preserve"> 31.9-10 (2011): 2150–2160. Print.</t>
    </r>
  </si>
  <si>
    <t>Lee, Ching-Hwa et al. “An Overview of Recycling and Treatment of Scrap Computers.” 114.1-3 (2004): 93–100. Print.</t>
  </si>
  <si>
    <r>
      <t>Determination of Regulated Elements in Discarded Laptop Computers, LCD Monitors, Plasma TVs and LCD TVsv</t>
    </r>
    <r>
      <rPr>
        <sz val="12"/>
        <color theme="1"/>
        <rFont val="Calibri"/>
        <family val="2"/>
        <scheme val="minor"/>
      </rPr>
      <t>. California Department of Toxic Substances Control, 2004.</t>
    </r>
  </si>
  <si>
    <r>
      <t xml:space="preserve">Kiddee, Peeranart, Ravi Naidu, and Ming H. Wong. “Electronic Waste Management Approaches: An Overview.” </t>
    </r>
    <r>
      <rPr>
        <i/>
        <sz val="12"/>
        <color theme="1"/>
        <rFont val="Calibri"/>
        <scheme val="minor"/>
      </rPr>
      <t>Waste Management</t>
    </r>
    <r>
      <rPr>
        <sz val="12"/>
        <color theme="1"/>
        <rFont val="Calibri"/>
        <family val="2"/>
        <scheme val="minor"/>
      </rPr>
      <t xml:space="preserve"> 33.5 (2013): 1237–1250.</t>
    </r>
  </si>
  <si>
    <r>
      <t xml:space="preserve">Kang, Hai-Yong, and Julie M. Schoenung. “Electronic Waste Recycling: A Review of U.S. Infrastructure and Technology Options.” </t>
    </r>
    <r>
      <rPr>
        <i/>
        <sz val="12"/>
        <color theme="1"/>
        <rFont val="Calibri"/>
        <scheme val="minor"/>
      </rPr>
      <t>Resources, Conservation and Recycling</t>
    </r>
    <r>
      <rPr>
        <sz val="12"/>
        <color theme="1"/>
        <rFont val="Calibri"/>
        <family val="2"/>
        <scheme val="minor"/>
      </rPr>
      <t xml:space="preserve"> 45.4 (2005): 368–400.</t>
    </r>
  </si>
  <si>
    <r>
      <t xml:space="preserve">Sullivan, Daniel. </t>
    </r>
    <r>
      <rPr>
        <i/>
        <sz val="12"/>
        <color theme="1"/>
        <rFont val="Calibri"/>
        <scheme val="minor"/>
      </rPr>
      <t>Recycled Cell Phones—A Treasure Trove of Valuable Metals</t>
    </r>
    <r>
      <rPr>
        <sz val="12"/>
        <color theme="1"/>
        <rFont val="Calibri"/>
        <family val="2"/>
        <scheme val="minor"/>
      </rPr>
      <t>. US Geological Survey, 2006. Print.</t>
    </r>
  </si>
  <si>
    <r>
      <t xml:space="preserve">McDonnell, T, and K Williams. </t>
    </r>
    <r>
      <rPr>
        <i/>
        <sz val="12"/>
        <color theme="1"/>
        <rFont val="Calibri"/>
        <scheme val="minor"/>
      </rPr>
      <t>The Location and Character of Mercury in Waste LCD Backlights</t>
    </r>
    <r>
      <rPr>
        <sz val="12"/>
        <color theme="1"/>
        <rFont val="Calibri"/>
        <family val="2"/>
        <scheme val="minor"/>
      </rPr>
      <t>. School of Built and Natural Environment, University of Central Lancashire, 2010.</t>
    </r>
  </si>
  <si>
    <r>
      <t xml:space="preserve">Buchert, Matthias et al. </t>
    </r>
    <r>
      <rPr>
        <i/>
        <sz val="12"/>
        <color theme="1"/>
        <rFont val="Calibri"/>
        <scheme val="minor"/>
      </rPr>
      <t>Recycling Critical Raw Materials from Waste Electronic Equipment</t>
    </r>
    <r>
      <rPr>
        <sz val="12"/>
        <color theme="1"/>
        <rFont val="Calibri"/>
        <family val="2"/>
        <scheme val="minor"/>
      </rPr>
      <t>. North Rhine-Westphalia State Agency for Nature, Environment and Consumer Protection, 2012.</t>
    </r>
  </si>
  <si>
    <r>
      <t xml:space="preserve">Milovantseva, Natalia, and Jean-Daniel Saphores. “Time Bomb or Hidden Treasure? Characteristics of Junk TVs and of the US Households Who Store Them.” </t>
    </r>
    <r>
      <rPr>
        <i/>
        <sz val="12"/>
        <color theme="1"/>
        <rFont val="Calibri"/>
        <scheme val="minor"/>
      </rPr>
      <t>Waste Management</t>
    </r>
    <r>
      <rPr>
        <sz val="12"/>
        <color theme="1"/>
        <rFont val="Calibri"/>
        <family val="2"/>
        <scheme val="minor"/>
      </rPr>
      <t xml:space="preserve"> 33.3 (2013): 519–529. Print.</t>
    </r>
  </si>
  <si>
    <t>Calculate by weight</t>
  </si>
  <si>
    <t>Reduced</t>
  </si>
  <si>
    <t>Desktop and Server</t>
  </si>
  <si>
    <t>kg CO2/short ton mile</t>
  </si>
  <si>
    <t>Flat panel display</t>
  </si>
  <si>
    <t>Cathode Ray Tube (CRT) Display</t>
  </si>
  <si>
    <t>CRT displays recycled (kg)</t>
  </si>
  <si>
    <t>Desktops and servers recycled (kg)</t>
  </si>
  <si>
    <t>Imaging devices (copiers/printers/faxes)</t>
  </si>
  <si>
    <t>Imaging devices recycled (kg)</t>
  </si>
  <si>
    <t xml:space="preserve">Average international shipping </t>
  </si>
  <si>
    <t>Notes</t>
  </si>
  <si>
    <t>Others (keyboards, mice, games, etc.)</t>
  </si>
  <si>
    <t>ton CO2/kg</t>
  </si>
  <si>
    <t>CO2 from exporting</t>
  </si>
  <si>
    <t>kg co2/kg km</t>
  </si>
  <si>
    <t>kg CO2/kg km</t>
  </si>
  <si>
    <t>Reduced GHG subtotal (kg)</t>
  </si>
  <si>
    <t>Reduced GHG subtotal (lbs.)</t>
  </si>
  <si>
    <t>Amount</t>
  </si>
  <si>
    <t>Distance</t>
  </si>
  <si>
    <t>km</t>
  </si>
  <si>
    <t>All metals recovered</t>
  </si>
  <si>
    <t>Toxicity diverted</t>
  </si>
  <si>
    <t>Others recycled (kg)</t>
  </si>
  <si>
    <t>*Assumption: CO2 emission from primary production of metals</t>
  </si>
  <si>
    <t>*Assumption: desktop and server have equal weight and content</t>
  </si>
  <si>
    <t>*Assumption: CRT TV and CRT PC monitors have equal amount of material content</t>
  </si>
  <si>
    <t>*Assumption: LCD TV and LCD PC monitors have equal amount of material content</t>
  </si>
  <si>
    <t>*Average of TV and PC weight</t>
  </si>
  <si>
    <t>Flat panel displays recycled (kg)</t>
  </si>
  <si>
    <t>*Assumption: Flat panel display is Liquid Crystal Display (LCD)</t>
  </si>
  <si>
    <t>*Assumption: material content based off of computer keyboards and mice only</t>
  </si>
  <si>
    <t>*Assumption: all ships used to export e-waste have same emission factor</t>
  </si>
  <si>
    <t>*Assumption: material content based off of printers, scanners, and fax machines</t>
  </si>
  <si>
    <r>
      <t xml:space="preserve">Wang, Xue, and Gabrielle Gaustad. “Prioritizing Material Recovery for End-of-life Printed Circuit Boards.” </t>
    </r>
    <r>
      <rPr>
        <i/>
        <sz val="12"/>
        <color theme="1"/>
        <rFont val="Calibri"/>
        <scheme val="minor"/>
      </rPr>
      <t>Waste Management</t>
    </r>
    <r>
      <rPr>
        <sz val="12"/>
        <color theme="1"/>
        <rFont val="Calibri"/>
        <family val="2"/>
        <scheme val="minor"/>
      </rPr>
      <t xml:space="preserve"> 32.10 (2012): 1903–1913. Print.</t>
    </r>
  </si>
  <si>
    <t>*Assumption: average of LCD TV and PC</t>
  </si>
  <si>
    <t>*Average of TV and PC</t>
  </si>
  <si>
    <t>“EPA DFE Monitor Life Cycle Inventory Report.” 1-162. Print.</t>
  </si>
  <si>
    <t>*Assumption: LCD display as same as LCD in laptop p.74 in source</t>
  </si>
  <si>
    <t>*Average of LCD TV and LCD PC</t>
  </si>
  <si>
    <r>
      <t xml:space="preserve">Harrison, Stephen, and Joachim von Scheele. “Emission Monitoring and Reduction in Aluminium Production.” </t>
    </r>
    <r>
      <rPr>
        <i/>
        <sz val="12"/>
        <color theme="1"/>
        <rFont val="Calibri"/>
        <scheme val="minor"/>
      </rPr>
      <t>Aluminum International Today</t>
    </r>
    <r>
      <rPr>
        <sz val="12"/>
        <color theme="1"/>
        <rFont val="Calibri"/>
        <family val="2"/>
        <scheme val="minor"/>
      </rPr>
      <t xml:space="preserve"> Sept. 2009 : 33–36. Print.</t>
    </r>
  </si>
  <si>
    <r>
      <t xml:space="preserve">Kuckshinrichs, Wilhelm, Petra Zapp, and Witold-Roger Poganietz. “CO2 Emissions of Global Metal-industries: The Case of Copper.” </t>
    </r>
    <r>
      <rPr>
        <i/>
        <sz val="12"/>
        <color theme="1"/>
        <rFont val="Calibri"/>
        <scheme val="minor"/>
      </rPr>
      <t>Applied Energy</t>
    </r>
    <r>
      <rPr>
        <sz val="12"/>
        <color theme="1"/>
        <rFont val="Calibri"/>
        <family val="2"/>
        <scheme val="minor"/>
      </rPr>
      <t xml:space="preserve"> 84.7-8 (2007): 842–852. Print.</t>
    </r>
  </si>
  <si>
    <r>
      <t xml:space="preserve">Greenhouse Gas Protocol. "Emission Factors from Cross-sector Tools". File last modified Aug 2012. </t>
    </r>
    <r>
      <rPr>
        <i/>
        <sz val="12"/>
        <color theme="1"/>
        <rFont val="Calibri"/>
        <scheme val="minor"/>
      </rPr>
      <t>Microsoft Excel</t>
    </r>
    <r>
      <rPr>
        <sz val="12"/>
        <color theme="1"/>
        <rFont val="Calibri"/>
        <family val="2"/>
        <scheme val="minor"/>
      </rPr>
      <t xml:space="preserve"> file</t>
    </r>
  </si>
  <si>
    <r>
      <t xml:space="preserve">US EPA, Abt Associates, inc., Dillion Environmental Associates, and UT. "Electronics Environmental Benefits Calculator version 2.0". File last modified Mar 2 2009. </t>
    </r>
    <r>
      <rPr>
        <i/>
        <sz val="12"/>
        <color theme="1"/>
        <rFont val="Calibri"/>
        <scheme val="minor"/>
      </rPr>
      <t xml:space="preserve">Microsoft Excel </t>
    </r>
    <r>
      <rPr>
        <sz val="12"/>
        <color theme="1"/>
        <rFont val="Calibri"/>
        <family val="2"/>
        <scheme val="minor"/>
      </rPr>
      <t>file</t>
    </r>
  </si>
  <si>
    <r>
      <t xml:space="preserve">US EPA. "Approach 2: Model 2". </t>
    </r>
    <r>
      <rPr>
        <i/>
        <sz val="12"/>
        <color theme="1"/>
        <rFont val="Calibri"/>
        <scheme val="minor"/>
      </rPr>
      <t>Microsoft Excel</t>
    </r>
    <r>
      <rPr>
        <sz val="12"/>
        <color theme="1"/>
        <rFont val="Calibri"/>
        <family val="2"/>
        <scheme val="minor"/>
      </rPr>
      <t xml:space="preserve"> file</t>
    </r>
  </si>
  <si>
    <r>
      <t xml:space="preserve">"Transit Time / Distance Calculator." </t>
    </r>
    <r>
      <rPr>
        <i/>
        <sz val="12"/>
        <color theme="1"/>
        <rFont val="Calibri"/>
        <scheme val="minor"/>
      </rPr>
      <t>Transit Time, Distance Calculator &amp; Port to Port Distances</t>
    </r>
    <r>
      <rPr>
        <sz val="12"/>
        <color theme="1"/>
        <rFont val="Calibri"/>
        <family val="2"/>
        <scheme val="minor"/>
      </rPr>
      <t>. Web. &lt;http://www.searates.com/reference/portdistance/&gt;.</t>
    </r>
  </si>
  <si>
    <r>
      <t xml:space="preserve">"Average E-Waste Weights." </t>
    </r>
    <r>
      <rPr>
        <i/>
        <sz val="12"/>
        <color theme="1"/>
        <rFont val="Calibri"/>
        <scheme val="minor"/>
      </rPr>
      <t>3R Technology. Web</t>
    </r>
    <r>
      <rPr>
        <sz val="12"/>
        <color theme="1"/>
        <rFont val="Calibri"/>
        <family val="2"/>
        <scheme val="minor"/>
      </rPr>
      <t>. &lt;http://www.3rtechnology.com/aveweights.html&gt;.</t>
    </r>
  </si>
  <si>
    <r>
      <t xml:space="preserve">"Three Major Pendulum Routes Serviced by OOCL, 2006." </t>
    </r>
    <r>
      <rPr>
        <i/>
        <sz val="12"/>
        <color theme="1"/>
        <rFont val="Calibri"/>
        <scheme val="minor"/>
      </rPr>
      <t>Three Major Pendulum Routes Serviced by OOCL, 2006</t>
    </r>
    <r>
      <rPr>
        <sz val="12"/>
        <color theme="1"/>
        <rFont val="Calibri"/>
        <family val="2"/>
        <scheme val="minor"/>
      </rPr>
      <t>. Web. &lt;http://people.hofstra.edu/geotrans/eng/ch3en/conc3en/ooclnax.html&gt;.</t>
    </r>
  </si>
  <si>
    <r>
      <t xml:space="preserve">"Weight." </t>
    </r>
    <r>
      <rPr>
        <i/>
        <sz val="12"/>
        <color theme="1"/>
        <rFont val="Calibri"/>
        <scheme val="minor"/>
      </rPr>
      <t>A Knowledge Base for the Sustainable Recycling of E-Waste</t>
    </r>
    <r>
      <rPr>
        <sz val="12"/>
        <color theme="1"/>
        <rFont val="Calibri"/>
        <family val="2"/>
        <scheme val="minor"/>
      </rPr>
      <t>. Web. &lt;http://ewasteguide.info/node/4065&gt;.</t>
    </r>
  </si>
  <si>
    <r>
      <t>Electronics Waste Management in the United States Through 2009</t>
    </r>
    <r>
      <rPr>
        <sz val="12"/>
        <color theme="1"/>
        <rFont val="Calibri"/>
        <family val="2"/>
        <scheme val="minor"/>
      </rPr>
      <t>. US EPA, 2011.</t>
    </r>
  </si>
  <si>
    <t>“Management of Electronic Waste in the United States: Approach 2.” Apr. 2007.</t>
  </si>
  <si>
    <t>Toxic metals reduced subtotal (lbs.)</t>
  </si>
  <si>
    <t>Toxic metals reduced subtotal (kg)</t>
  </si>
  <si>
    <t xml:space="preserve">Toxic metals reduced </t>
  </si>
  <si>
    <t>[emission factor]*[volume]*[distance]</t>
  </si>
  <si>
    <t>sum of [volume of strategic and other metals]*[primary production emission factor]</t>
  </si>
  <si>
    <t>sum of [toxicity diverted]</t>
  </si>
  <si>
    <t>sum of [GHG reduced]</t>
  </si>
  <si>
    <t xml:space="preserve">Unit recycled </t>
  </si>
  <si>
    <t>Laptops recycled (lbs.)</t>
  </si>
  <si>
    <t>CRT displays recycled (lbs.)</t>
  </si>
  <si>
    <t>Desktops and servers recycled (lbs.)</t>
  </si>
  <si>
    <t>Flat panel displays recycled (lbs.)</t>
  </si>
  <si>
    <t>Mobile phones recycled (lbs.)</t>
  </si>
  <si>
    <t>Imaging devices recycled (lbs.)</t>
  </si>
  <si>
    <t>Others recycled (lbs.)</t>
  </si>
  <si>
    <t>[unit]*[average unit weight]</t>
  </si>
  <si>
    <t>Calculate by unit count</t>
  </si>
  <si>
    <t xml:space="preserve">Factors for Greenhouse Gas emission </t>
  </si>
  <si>
    <t>Export - route</t>
  </si>
  <si>
    <t>Savings (1° production - 2° production)</t>
  </si>
  <si>
    <t>Weight recycled (lbs.)</t>
  </si>
  <si>
    <t>[weight]/[average unit weight]</t>
  </si>
  <si>
    <t>[weight]/[sum of weight from all product type]*100</t>
  </si>
  <si>
    <t>Weight recyced (lbs.)</t>
  </si>
  <si>
    <t>[weight]/[sum of volume from all product type]*100</t>
  </si>
  <si>
    <t>*Assumption: gold considered as platinum group metal (PGM)</t>
  </si>
  <si>
    <t>Saurat, Mathieu, and Stefan Bringezu. “Platinum Group Metal Flows of Europe, Part I.” Journal of Industrial Ecology 12.5/6 (2008): 754–767. Print.</t>
  </si>
  <si>
    <t>Recycling for Climate Protection. Germany: Interseroh, 2008. Print.</t>
  </si>
  <si>
    <t>1° production - 2° production</t>
  </si>
  <si>
    <t>*Assumption: average distance of three main pendulum route represents the international e-waste export route; all non-e-Strewards export to Asia</t>
  </si>
  <si>
    <t>[unit]*[quantity of lead per unit]</t>
  </si>
  <si>
    <t>[unit]*[quantity of mercury per unit]</t>
  </si>
  <si>
    <t>[unit]*[quantity of cadmium per unit]</t>
  </si>
  <si>
    <t>[unit]*[quantity of arsenic per unit]</t>
  </si>
  <si>
    <t>[unit]*[quantity of copper per unit]</t>
  </si>
  <si>
    <t>[unit]*[quantity of gold per unit]</t>
  </si>
  <si>
    <t>[unit]*[quantity of platinum per unit]</t>
  </si>
  <si>
    <t>[unit]*[quantity of palladium per unit]</t>
  </si>
  <si>
    <t>[unit]*[quantity of aluminum per unit]</t>
  </si>
  <si>
    <t>[unit]*[quantity of steel per unit]</t>
  </si>
  <si>
    <t xml:space="preserve">Electronic Industries Alliance. "Lead in Cathode Ray Tubes (CRTs) Information Sheet." Print. </t>
  </si>
  <si>
    <t>Hard Drives</t>
  </si>
  <si>
    <t>Hard drives recycled (kg)</t>
  </si>
  <si>
    <t>Average unit weight (lbs)</t>
  </si>
  <si>
    <t>Hard drives recycled (lbs.)</t>
  </si>
  <si>
    <t>Hard Drives recycled (kg)</t>
  </si>
  <si>
    <t>tons</t>
  </si>
  <si>
    <t>lbs</t>
  </si>
  <si>
    <t>Ruby Thuy Nguyen, Luis A. Diaz, D. Devin Imholte, Tedd E. Lister et al. "Economic Assessment for Recycling Critical Metals from Hard Disk Drives Using a Comprehensive Recovery Process."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</si>
</sst>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00%"/>
    <numFmt numFmtId="166" formatCode="_(* #,##0.000_);_(* \(#,##0.000\);_(* &quot;-&quot;??_);_(@_)"/>
    <numFmt numFmtId="167" formatCode="_(* #,##0.000_);_(* \(#,##0.000\);_(* &quot;-&quot;???_);_(@_)"/>
  </numFmts>
  <fonts count="3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  <font>
      <b/>
      <i/>
      <sz val="12"/>
      <color theme="1"/>
      <name val="Calibri"/>
      <scheme val="minor"/>
    </font>
    <font>
      <b/>
      <sz val="12"/>
      <color rgb="FF000000"/>
      <name val="Calibri"/>
      <scheme val="minor"/>
    </font>
    <font>
      <i/>
      <sz val="12"/>
      <name val="Calibri"/>
      <scheme val="minor"/>
    </font>
    <font>
      <u/>
      <sz val="12"/>
      <color theme="10"/>
      <name val="Calibri"/>
      <family val="2"/>
      <scheme val="minor"/>
    </font>
    <font>
      <sz val="12"/>
      <color rgb="FF0000FF"/>
      <name val="Calibri"/>
      <scheme val="minor"/>
    </font>
    <font>
      <sz val="12"/>
      <color indexed="8"/>
      <name val="Calibri"/>
      <family val="2"/>
    </font>
    <font>
      <b/>
      <sz val="12"/>
      <name val="Calibri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rgb="FF000000"/>
      <name val="Calibri"/>
      <scheme val="minor"/>
    </font>
    <font>
      <sz val="12"/>
      <name val="Calibri"/>
      <scheme val="minor"/>
    </font>
    <font>
      <sz val="12"/>
      <color rgb="FFFF0000"/>
      <name val="Calibri"/>
      <family val="2"/>
      <scheme val="minor"/>
    </font>
    <font>
      <sz val="9"/>
      <color indexed="81"/>
      <name val="Calibri"/>
      <family val="2"/>
    </font>
    <font>
      <i/>
      <sz val="12"/>
      <color theme="1"/>
      <name val="Calibri"/>
      <scheme val="minor"/>
    </font>
    <font>
      <i/>
      <sz val="12"/>
      <color rgb="FF000000"/>
      <name val="Calibri"/>
      <scheme val="minor"/>
    </font>
    <font>
      <b/>
      <sz val="16"/>
      <name val="Calibri"/>
      <scheme val="minor"/>
    </font>
    <font>
      <b/>
      <sz val="16"/>
      <color rgb="FF000000"/>
      <name val="Calibri"/>
      <scheme val="minor"/>
    </font>
    <font>
      <b/>
      <sz val="14"/>
      <color theme="1"/>
      <name val="Calibri"/>
      <scheme val="minor"/>
    </font>
    <font>
      <b/>
      <sz val="16"/>
      <color theme="0"/>
      <name val="Calibri"/>
      <scheme val="minor"/>
    </font>
    <font>
      <b/>
      <sz val="18"/>
      <color theme="1"/>
      <name val="Calibri"/>
      <scheme val="minor"/>
    </font>
    <font>
      <sz val="9"/>
      <color rgb="FF000000"/>
      <name val="Calibri"/>
      <family val="2"/>
    </font>
    <font>
      <i/>
      <sz val="12"/>
      <color rgb="FF000000"/>
      <name val="Calibri"/>
      <family val="2"/>
      <scheme val="minor"/>
    </font>
    <font>
      <sz val="10"/>
      <color rgb="FF000000"/>
      <name val="Tahoma"/>
      <family val="2"/>
    </font>
    <font>
      <sz val="10"/>
      <color rgb="FF00000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1A0C7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66FF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466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0">
    <xf numFmtId="0" fontId="0" fillId="0" borderId="0" xfId="0"/>
    <xf numFmtId="0" fontId="3" fillId="0" borderId="0" xfId="0" applyFont="1"/>
    <xf numFmtId="0" fontId="0" fillId="0" borderId="0" xfId="0" applyFont="1"/>
    <xf numFmtId="0" fontId="3" fillId="2" borderId="1" xfId="0" applyFont="1" applyFill="1" applyBorder="1" applyAlignment="1"/>
    <xf numFmtId="0" fontId="0" fillId="0" borderId="1" xfId="0" applyFont="1" applyBorder="1"/>
    <xf numFmtId="0" fontId="0" fillId="0" borderId="1" xfId="0" applyBorder="1"/>
    <xf numFmtId="0" fontId="6" fillId="0" borderId="0" xfId="0" applyFont="1"/>
    <xf numFmtId="0" fontId="7" fillId="0" borderId="0" xfId="0" applyFont="1" applyBorder="1"/>
    <xf numFmtId="0" fontId="8" fillId="0" borderId="0" xfId="0" applyFont="1"/>
    <xf numFmtId="0" fontId="9" fillId="0" borderId="0" xfId="0" applyFont="1"/>
    <xf numFmtId="0" fontId="0" fillId="0" borderId="2" xfId="0" applyBorder="1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Font="1" applyBorder="1"/>
    <xf numFmtId="0" fontId="11" fillId="0" borderId="0" xfId="0" applyFont="1"/>
    <xf numFmtId="164" fontId="11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Fill="1" applyBorder="1"/>
    <xf numFmtId="0" fontId="6" fillId="0" borderId="0" xfId="0" applyFont="1" applyFill="1" applyBorder="1" applyAlignment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0" fillId="0" borderId="0" xfId="0" applyFill="1"/>
    <xf numFmtId="0" fontId="0" fillId="0" borderId="0" xfId="0" applyFont="1" applyFill="1" applyBorder="1"/>
    <xf numFmtId="0" fontId="14" fillId="0" borderId="0" xfId="0" applyFont="1"/>
    <xf numFmtId="0" fontId="14" fillId="0" borderId="0" xfId="0" applyFont="1" applyBorder="1"/>
    <xf numFmtId="0" fontId="14" fillId="0" borderId="0" xfId="0" applyFont="1" applyBorder="1" applyAlignment="1">
      <alignment wrapText="1"/>
    </xf>
    <xf numFmtId="10" fontId="14" fillId="0" borderId="0" xfId="0" applyNumberFormat="1" applyFont="1" applyBorder="1"/>
    <xf numFmtId="0" fontId="14" fillId="0" borderId="0" xfId="0" applyFont="1" applyFill="1" applyBorder="1" applyAlignment="1">
      <alignment horizontal="center" vertical="center"/>
    </xf>
    <xf numFmtId="0" fontId="12" fillId="0" borderId="0" xfId="219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ill="1" applyBorder="1"/>
    <xf numFmtId="0" fontId="0" fillId="0" borderId="1" xfId="0" applyFont="1" applyFill="1" applyBorder="1"/>
    <xf numFmtId="0" fontId="3" fillId="2" borderId="13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NumberFormat="1" applyBorder="1"/>
    <xf numFmtId="0" fontId="3" fillId="0" borderId="0" xfId="0" applyFont="1" applyFill="1" applyBorder="1" applyAlignment="1"/>
    <xf numFmtId="9" fontId="0" fillId="0" borderId="0" xfId="34" applyFont="1" applyFill="1" applyBorder="1"/>
    <xf numFmtId="165" fontId="0" fillId="0" borderId="0" xfId="34" applyNumberFormat="1" applyFont="1" applyFill="1" applyBorder="1"/>
    <xf numFmtId="0" fontId="13" fillId="0" borderId="0" xfId="0" applyFont="1" applyFill="1" applyBorder="1"/>
    <xf numFmtId="0" fontId="0" fillId="0" borderId="0" xfId="0" applyBorder="1" applyAlignment="1">
      <alignment wrapText="1"/>
    </xf>
    <xf numFmtId="0" fontId="16" fillId="0" borderId="0" xfId="0" applyFont="1" applyBorder="1"/>
    <xf numFmtId="0" fontId="8" fillId="7" borderId="1" xfId="0" applyFont="1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/>
    <xf numFmtId="0" fontId="0" fillId="0" borderId="0" xfId="0" applyFill="1" applyBorder="1" applyAlignment="1"/>
    <xf numFmtId="0" fontId="6" fillId="0" borderId="0" xfId="0" applyFont="1" applyFill="1" applyBorder="1" applyAlignment="1">
      <alignment horizontal="left" wrapText="1"/>
    </xf>
    <xf numFmtId="0" fontId="14" fillId="0" borderId="0" xfId="0" applyFont="1" applyFill="1" applyBorder="1"/>
    <xf numFmtId="0" fontId="0" fillId="0" borderId="10" xfId="0" applyBorder="1" applyAlignment="1">
      <alignment vertical="center"/>
    </xf>
    <xf numFmtId="0" fontId="17" fillId="0" borderId="0" xfId="0" applyFont="1" applyBorder="1"/>
    <xf numFmtId="0" fontId="7" fillId="0" borderId="0" xfId="0" applyFont="1" applyFill="1" applyBorder="1"/>
    <xf numFmtId="0" fontId="0" fillId="0" borderId="0" xfId="0" applyFont="1" applyFill="1" applyBorder="1" applyAlignment="1">
      <alignment horizontal="left"/>
    </xf>
    <xf numFmtId="164" fontId="0" fillId="0" borderId="0" xfId="0" applyNumberFormat="1" applyFill="1" applyBorder="1" applyAlignment="1"/>
    <xf numFmtId="0" fontId="17" fillId="0" borderId="0" xfId="0" applyFont="1" applyBorder="1" applyAlignment="1">
      <alignment horizontal="right"/>
    </xf>
    <xf numFmtId="0" fontId="14" fillId="0" borderId="6" xfId="0" applyFont="1" applyBorder="1"/>
    <xf numFmtId="0" fontId="0" fillId="0" borderId="3" xfId="0" applyFill="1" applyBorder="1"/>
    <xf numFmtId="0" fontId="24" fillId="11" borderId="0" xfId="0" applyFont="1" applyFill="1" applyBorder="1"/>
    <xf numFmtId="0" fontId="23" fillId="11" borderId="0" xfId="0" applyFont="1" applyFill="1"/>
    <xf numFmtId="0" fontId="12" fillId="2" borderId="1" xfId="219" applyFill="1" applyBorder="1" applyAlignment="1">
      <alignment vertical="center"/>
    </xf>
    <xf numFmtId="0" fontId="0" fillId="2" borderId="1" xfId="0" applyFont="1" applyFill="1" applyBorder="1"/>
    <xf numFmtId="0" fontId="0" fillId="2" borderId="1" xfId="0" applyFill="1" applyBorder="1"/>
    <xf numFmtId="0" fontId="14" fillId="0" borderId="1" xfId="0" applyFont="1" applyBorder="1"/>
    <xf numFmtId="0" fontId="14" fillId="0" borderId="15" xfId="0" applyFont="1" applyBorder="1"/>
    <xf numFmtId="0" fontId="14" fillId="0" borderId="8" xfId="0" applyFont="1" applyBorder="1"/>
    <xf numFmtId="0" fontId="21" fillId="0" borderId="0" xfId="0" applyFont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0" fillId="0" borderId="0" xfId="0" applyBorder="1" applyAlignment="1">
      <alignment wrapText="1"/>
    </xf>
    <xf numFmtId="164" fontId="14" fillId="0" borderId="0" xfId="0" applyNumberFormat="1" applyFont="1" applyBorder="1"/>
    <xf numFmtId="0" fontId="14" fillId="9" borderId="0" xfId="0" applyFont="1" applyFill="1" applyBorder="1"/>
    <xf numFmtId="0" fontId="8" fillId="0" borderId="1" xfId="0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4" fillId="10" borderId="0" xfId="0" applyFont="1" applyFill="1" applyBorder="1" applyAlignment="1"/>
    <xf numFmtId="0" fontId="6" fillId="13" borderId="0" xfId="0" applyFont="1" applyFill="1" applyBorder="1" applyAlignment="1"/>
    <xf numFmtId="0" fontId="4" fillId="10" borderId="11" xfId="0" applyFont="1" applyFill="1" applyBorder="1" applyAlignment="1"/>
    <xf numFmtId="0" fontId="18" fillId="10" borderId="1" xfId="0" applyFont="1" applyFill="1" applyBorder="1" applyAlignment="1"/>
    <xf numFmtId="0" fontId="4" fillId="10" borderId="11" xfId="0" applyFont="1" applyFill="1" applyBorder="1" applyAlignment="1">
      <alignment wrapText="1"/>
    </xf>
    <xf numFmtId="0" fontId="4" fillId="10" borderId="1" xfId="0" applyFont="1" applyFill="1" applyBorder="1" applyAlignment="1">
      <alignment wrapText="1"/>
    </xf>
    <xf numFmtId="0" fontId="4" fillId="10" borderId="11" xfId="0" applyFont="1" applyFill="1" applyBorder="1"/>
    <xf numFmtId="0" fontId="6" fillId="13" borderId="2" xfId="0" applyFont="1" applyFill="1" applyBorder="1" applyAlignment="1"/>
    <xf numFmtId="0" fontId="23" fillId="0" borderId="23" xfId="0" applyFont="1" applyBorder="1"/>
    <xf numFmtId="0" fontId="14" fillId="0" borderId="0" xfId="0" applyFont="1" applyBorder="1" applyAlignment="1">
      <alignment horizontal="left"/>
    </xf>
    <xf numFmtId="0" fontId="14" fillId="0" borderId="22" xfId="0" applyFont="1" applyBorder="1"/>
    <xf numFmtId="0" fontId="17" fillId="0" borderId="23" xfId="0" applyFont="1" applyBorder="1" applyAlignment="1">
      <alignment vertical="center"/>
    </xf>
    <xf numFmtId="0" fontId="17" fillId="0" borderId="23" xfId="0" applyFont="1" applyBorder="1"/>
    <xf numFmtId="164" fontId="14" fillId="0" borderId="22" xfId="0" applyNumberFormat="1" applyFont="1" applyBorder="1"/>
    <xf numFmtId="0" fontId="22" fillId="0" borderId="23" xfId="0" applyFont="1" applyBorder="1"/>
    <xf numFmtId="0" fontId="23" fillId="0" borderId="22" xfId="0" applyFont="1" applyBorder="1"/>
    <xf numFmtId="0" fontId="13" fillId="0" borderId="23" xfId="0" applyFont="1" applyBorder="1"/>
    <xf numFmtId="0" fontId="17" fillId="0" borderId="12" xfId="0" applyFont="1" applyBorder="1" applyAlignment="1">
      <alignment horizontal="right"/>
    </xf>
    <xf numFmtId="0" fontId="14" fillId="0" borderId="25" xfId="0" applyFont="1" applyBorder="1"/>
    <xf numFmtId="0" fontId="18" fillId="10" borderId="13" xfId="0" applyFont="1" applyFill="1" applyBorder="1"/>
    <xf numFmtId="0" fontId="0" fillId="0" borderId="1" xfId="34" applyNumberFormat="1" applyFont="1" applyBorder="1"/>
    <xf numFmtId="0" fontId="25" fillId="14" borderId="2" xfId="0" applyFont="1" applyFill="1" applyBorder="1"/>
    <xf numFmtId="0" fontId="0" fillId="0" borderId="2" xfId="0" applyFill="1" applyBorder="1"/>
    <xf numFmtId="0" fontId="3" fillId="0" borderId="2" xfId="0" applyFont="1" applyFill="1" applyBorder="1" applyAlignment="1">
      <alignment wrapText="1"/>
    </xf>
    <xf numFmtId="0" fontId="26" fillId="0" borderId="0" xfId="0" applyFont="1"/>
    <xf numFmtId="0" fontId="0" fillId="0" borderId="2" xfId="0" applyFont="1" applyFill="1" applyBorder="1" applyAlignment="1"/>
    <xf numFmtId="0" fontId="14" fillId="0" borderId="1" xfId="0" applyNumberFormat="1" applyFont="1" applyBorder="1"/>
    <xf numFmtId="0" fontId="0" fillId="0" borderId="13" xfId="0" applyFill="1" applyBorder="1"/>
    <xf numFmtId="0" fontId="0" fillId="0" borderId="9" xfId="0" applyFill="1" applyBorder="1"/>
    <xf numFmtId="0" fontId="23" fillId="8" borderId="19" xfId="0" applyFont="1" applyFill="1" applyBorder="1"/>
    <xf numFmtId="0" fontId="23" fillId="8" borderId="20" xfId="0" applyFont="1" applyFill="1" applyBorder="1"/>
    <xf numFmtId="164" fontId="14" fillId="8" borderId="20" xfId="0" applyNumberFormat="1" applyFont="1" applyFill="1" applyBorder="1"/>
    <xf numFmtId="0" fontId="14" fillId="8" borderId="20" xfId="0" applyFont="1" applyFill="1" applyBorder="1"/>
    <xf numFmtId="0" fontId="14" fillId="8" borderId="21" xfId="0" applyFont="1" applyFill="1" applyBorder="1"/>
    <xf numFmtId="0" fontId="8" fillId="9" borderId="23" xfId="0" applyFont="1" applyFill="1" applyBorder="1"/>
    <xf numFmtId="0" fontId="8" fillId="9" borderId="0" xfId="0" applyFont="1" applyFill="1" applyBorder="1"/>
    <xf numFmtId="0" fontId="14" fillId="9" borderId="22" xfId="0" applyFont="1" applyFill="1" applyBorder="1"/>
    <xf numFmtId="0" fontId="23" fillId="0" borderId="0" xfId="0" applyFont="1" applyBorder="1"/>
    <xf numFmtId="0" fontId="17" fillId="0" borderId="23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4" fillId="0" borderId="12" xfId="0" applyFont="1" applyBorder="1"/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/>
    <xf numFmtId="166" fontId="0" fillId="0" borderId="1" xfId="379" applyNumberFormat="1" applyFont="1" applyBorder="1"/>
    <xf numFmtId="166" fontId="14" fillId="0" borderId="1" xfId="379" applyNumberFormat="1" applyFont="1" applyFill="1" applyBorder="1"/>
    <xf numFmtId="166" fontId="0" fillId="0" borderId="0" xfId="379" applyNumberFormat="1" applyFont="1" applyBorder="1"/>
    <xf numFmtId="166" fontId="14" fillId="0" borderId="15" xfId="379" applyNumberFormat="1" applyFont="1" applyBorder="1"/>
    <xf numFmtId="166" fontId="14" fillId="0" borderId="6" xfId="379" applyNumberFormat="1" applyFont="1" applyBorder="1"/>
    <xf numFmtId="166" fontId="14" fillId="0" borderId="1" xfId="379" applyNumberFormat="1" applyFont="1" applyBorder="1"/>
    <xf numFmtId="166" fontId="20" fillId="0" borderId="1" xfId="379" applyNumberFormat="1" applyFont="1" applyBorder="1"/>
    <xf numFmtId="166" fontId="0" fillId="0" borderId="1" xfId="379" applyNumberFormat="1" applyFont="1" applyFill="1" applyBorder="1"/>
    <xf numFmtId="166" fontId="21" fillId="0" borderId="17" xfId="379" applyNumberFormat="1" applyFont="1" applyBorder="1"/>
    <xf numFmtId="166" fontId="20" fillId="0" borderId="17" xfId="379" applyNumberFormat="1" applyFont="1" applyBorder="1"/>
    <xf numFmtId="166" fontId="9" fillId="0" borderId="17" xfId="379" applyNumberFormat="1" applyFont="1" applyBorder="1"/>
    <xf numFmtId="166" fontId="14" fillId="0" borderId="8" xfId="379" applyNumberFormat="1" applyFont="1" applyBorder="1"/>
    <xf numFmtId="166" fontId="14" fillId="9" borderId="0" xfId="379" applyNumberFormat="1" applyFont="1" applyFill="1" applyBorder="1"/>
    <xf numFmtId="166" fontId="14" fillId="0" borderId="26" xfId="379" applyNumberFormat="1" applyFont="1" applyBorder="1"/>
    <xf numFmtId="166" fontId="14" fillId="0" borderId="27" xfId="379" applyNumberFormat="1" applyFont="1" applyBorder="1"/>
    <xf numFmtId="166" fontId="8" fillId="0" borderId="0" xfId="379" applyNumberFormat="1" applyFont="1"/>
    <xf numFmtId="166" fontId="3" fillId="2" borderId="1" xfId="379" applyNumberFormat="1" applyFont="1" applyFill="1" applyBorder="1" applyAlignment="1"/>
    <xf numFmtId="0" fontId="14" fillId="0" borderId="2" xfId="0" applyFont="1" applyBorder="1"/>
    <xf numFmtId="0" fontId="0" fillId="0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9" fontId="20" fillId="0" borderId="1" xfId="34" applyFont="1" applyBorder="1"/>
    <xf numFmtId="9" fontId="20" fillId="0" borderId="17" xfId="34" applyFont="1" applyBorder="1"/>
    <xf numFmtId="9" fontId="9" fillId="0" borderId="17" xfId="34" applyFont="1" applyBorder="1"/>
    <xf numFmtId="167" fontId="0" fillId="0" borderId="1" xfId="379" applyNumberFormat="1" applyFont="1" applyBorder="1"/>
    <xf numFmtId="43" fontId="14" fillId="0" borderId="8" xfId="379" applyNumberFormat="1" applyFont="1" applyBorder="1"/>
    <xf numFmtId="0" fontId="21" fillId="0" borderId="0" xfId="0" applyFont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11" fontId="0" fillId="0" borderId="1" xfId="0" applyNumberFormat="1" applyBorder="1"/>
    <xf numFmtId="0" fontId="9" fillId="10" borderId="0" xfId="0" applyFont="1" applyFill="1"/>
    <xf numFmtId="0" fontId="14" fillId="10" borderId="0" xfId="0" applyFont="1" applyFill="1"/>
    <xf numFmtId="166" fontId="0" fillId="0" borderId="0" xfId="379" applyNumberFormat="1" applyFont="1" applyFill="1" applyBorder="1"/>
    <xf numFmtId="0" fontId="28" fillId="0" borderId="0" xfId="0" applyFont="1" applyFill="1"/>
    <xf numFmtId="0" fontId="0" fillId="10" borderId="0" xfId="0" applyFill="1" applyBorder="1"/>
    <xf numFmtId="43" fontId="14" fillId="0" borderId="0" xfId="0" applyNumberFormat="1" applyFont="1" applyBorder="1"/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 shrinkToFit="1"/>
    </xf>
    <xf numFmtId="0" fontId="17" fillId="6" borderId="8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13" borderId="0" xfId="0" applyFont="1" applyFill="1" applyBorder="1" applyAlignment="1">
      <alignment wrapText="1"/>
    </xf>
    <xf numFmtId="0" fontId="0" fillId="13" borderId="0" xfId="0" applyFill="1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20" fillId="0" borderId="5" xfId="0" applyFont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5" xfId="0" applyFont="1" applyFill="1" applyBorder="1" applyAlignment="1">
      <alignment horizontal="right"/>
    </xf>
    <xf numFmtId="0" fontId="6" fillId="13" borderId="0" xfId="0" applyFont="1" applyFill="1" applyBorder="1" applyAlignment="1">
      <alignment horizontal="left"/>
    </xf>
    <xf numFmtId="0" fontId="21" fillId="0" borderId="0" xfId="0" applyFont="1" applyAlignment="1">
      <alignment horizontal="right"/>
    </xf>
    <xf numFmtId="0" fontId="21" fillId="0" borderId="16" xfId="0" applyFont="1" applyBorder="1" applyAlignment="1">
      <alignment horizontal="right"/>
    </xf>
    <xf numFmtId="0" fontId="3" fillId="4" borderId="11" xfId="0" applyFont="1" applyFill="1" applyBorder="1" applyAlignment="1">
      <alignment wrapText="1"/>
    </xf>
    <xf numFmtId="0" fontId="0" fillId="3" borderId="1" xfId="0" applyFont="1" applyFill="1" applyBorder="1" applyAlignment="1">
      <alignment horizontal="center" vertical="center" wrapText="1"/>
    </xf>
    <xf numFmtId="0" fontId="6" fillId="13" borderId="0" xfId="0" applyFont="1" applyFill="1" applyBorder="1" applyAlignment="1">
      <alignment horizontal="left" wrapText="1"/>
    </xf>
    <xf numFmtId="0" fontId="17" fillId="0" borderId="23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3" fillId="4" borderId="14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13" fillId="9" borderId="23" xfId="0" applyFont="1" applyFill="1" applyBorder="1" applyAlignment="1">
      <alignment horizontal="left"/>
    </xf>
    <xf numFmtId="0" fontId="13" fillId="9" borderId="16" xfId="0" applyFont="1" applyFill="1" applyBorder="1" applyAlignment="1">
      <alignment horizontal="left"/>
    </xf>
    <xf numFmtId="0" fontId="17" fillId="0" borderId="16" xfId="0" applyFont="1" applyBorder="1" applyAlignment="1">
      <alignment horizontal="right" vertical="center"/>
    </xf>
    <xf numFmtId="0" fontId="21" fillId="0" borderId="5" xfId="0" applyFont="1" applyBorder="1" applyAlignment="1">
      <alignment horizontal="right"/>
    </xf>
    <xf numFmtId="0" fontId="8" fillId="12" borderId="14" xfId="0" applyFont="1" applyFill="1" applyBorder="1" applyAlignment="1">
      <alignment horizontal="left"/>
    </xf>
    <xf numFmtId="0" fontId="8" fillId="12" borderId="7" xfId="0" applyFont="1" applyFill="1" applyBorder="1" applyAlignment="1">
      <alignment horizontal="left"/>
    </xf>
    <xf numFmtId="0" fontId="8" fillId="12" borderId="18" xfId="0" applyFont="1" applyFill="1" applyBorder="1" applyAlignment="1">
      <alignment horizontal="left"/>
    </xf>
    <xf numFmtId="0" fontId="0" fillId="0" borderId="11" xfId="0" applyBorder="1" applyAlignment="1">
      <alignment wrapText="1"/>
    </xf>
  </cellXfs>
  <cellStyles count="466">
    <cellStyle name="Comma" xfId="379" builtinId="3"/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Normal" xfId="0" builtinId="0"/>
    <cellStyle name="Normal_ComponentWeight" xfId="219" xr:uid="{00000000-0005-0000-0000-0000D0010000}"/>
    <cellStyle name="Percent" xfId="34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4"/>
  <sheetViews>
    <sheetView topLeftCell="A203" workbookViewId="0">
      <selection activeCell="C212" sqref="C212"/>
    </sheetView>
  </sheetViews>
  <sheetFormatPr baseColWidth="10" defaultColWidth="11.1640625" defaultRowHeight="16"/>
  <cols>
    <col min="2" max="2" width="26.6640625" customWidth="1"/>
    <col min="3" max="3" width="16.83203125" customWidth="1"/>
    <col min="4" max="4" width="14.1640625" customWidth="1"/>
    <col min="5" max="5" width="24" bestFit="1" customWidth="1"/>
    <col min="6" max="6" width="15" customWidth="1"/>
    <col min="7" max="7" width="14.1640625" customWidth="1"/>
    <col min="8" max="8" width="17.1640625" style="22" customWidth="1"/>
    <col min="9" max="9" width="41.33203125" customWidth="1"/>
    <col min="10" max="10" width="14.83203125" customWidth="1"/>
    <col min="11" max="11" width="21.6640625" customWidth="1"/>
    <col min="12" max="12" width="9.1640625" customWidth="1"/>
    <col min="13" max="13" width="11.6640625" customWidth="1"/>
  </cols>
  <sheetData>
    <row r="1" spans="1:13" ht="24">
      <c r="A1" s="101" t="s">
        <v>56</v>
      </c>
      <c r="C1" s="22"/>
      <c r="D1" s="22"/>
      <c r="I1" s="98" t="s">
        <v>67</v>
      </c>
    </row>
    <row r="2" spans="1:13">
      <c r="A2" s="24"/>
      <c r="C2" s="24"/>
      <c r="D2" s="24"/>
      <c r="I2" s="10"/>
    </row>
    <row r="3" spans="1:13" ht="21">
      <c r="A3" s="84" t="s">
        <v>25</v>
      </c>
      <c r="B3" s="78"/>
      <c r="C3" s="78"/>
      <c r="D3" s="78"/>
      <c r="E3" s="78"/>
      <c r="F3" s="78"/>
      <c r="I3" s="10"/>
    </row>
    <row r="4" spans="1:13" s="17" customFormat="1" ht="21">
      <c r="A4" s="18"/>
      <c r="B4" s="77" t="s">
        <v>128</v>
      </c>
      <c r="C4" s="77"/>
      <c r="D4" s="96">
        <v>0</v>
      </c>
      <c r="F4" s="18"/>
      <c r="I4" s="99"/>
    </row>
    <row r="5" spans="1:13">
      <c r="A5" s="3" t="s">
        <v>0</v>
      </c>
      <c r="B5" s="3" t="s">
        <v>3</v>
      </c>
      <c r="C5" s="3" t="s">
        <v>1</v>
      </c>
      <c r="D5" s="3" t="s">
        <v>2</v>
      </c>
      <c r="E5" s="3" t="s">
        <v>22</v>
      </c>
      <c r="F5" s="3" t="s">
        <v>26</v>
      </c>
      <c r="I5" s="10"/>
    </row>
    <row r="6" spans="1:13">
      <c r="A6" s="161" t="s">
        <v>21</v>
      </c>
      <c r="B6" s="32" t="s">
        <v>70</v>
      </c>
      <c r="C6" s="103">
        <v>2.99364E-5</v>
      </c>
      <c r="D6" s="67" t="s">
        <v>72</v>
      </c>
      <c r="E6" s="121">
        <f t="shared" ref="E6:E17" si="0">F6/$E$229</f>
        <v>0</v>
      </c>
      <c r="F6" s="121">
        <f>C6*C19*C199</f>
        <v>0</v>
      </c>
      <c r="G6" s="163" t="s">
        <v>57</v>
      </c>
      <c r="I6" s="138" t="s">
        <v>111</v>
      </c>
    </row>
    <row r="7" spans="1:13">
      <c r="A7" s="162"/>
      <c r="B7" s="32" t="s">
        <v>136</v>
      </c>
      <c r="C7" s="5"/>
      <c r="D7" s="67"/>
      <c r="E7" s="121">
        <f t="shared" si="0"/>
        <v>0</v>
      </c>
      <c r="F7" s="121">
        <f>(C201*F16+C202*F15+C203*F14+C204*F13+C205*F12+C206*F17)*1000</f>
        <v>0</v>
      </c>
      <c r="G7" s="163"/>
      <c r="I7" s="138" t="s">
        <v>112</v>
      </c>
    </row>
    <row r="8" spans="1:13">
      <c r="A8" s="173" t="s">
        <v>79</v>
      </c>
      <c r="B8" s="4" t="s">
        <v>16</v>
      </c>
      <c r="C8" s="5">
        <v>6.1000000000000004E-3</v>
      </c>
      <c r="D8" s="5" t="s">
        <v>24</v>
      </c>
      <c r="E8" s="121">
        <f t="shared" si="0"/>
        <v>0</v>
      </c>
      <c r="F8" s="121">
        <f>$C$20*C8</f>
        <v>0</v>
      </c>
      <c r="G8" s="163"/>
      <c r="I8" s="138" t="s">
        <v>138</v>
      </c>
      <c r="M8" s="11"/>
    </row>
    <row r="9" spans="1:13">
      <c r="A9" s="174"/>
      <c r="B9" s="4" t="s">
        <v>17</v>
      </c>
      <c r="C9" s="5">
        <f>0.004/1000</f>
        <v>3.9999999999999998E-6</v>
      </c>
      <c r="D9" s="5" t="s">
        <v>24</v>
      </c>
      <c r="E9" s="121">
        <f t="shared" si="0"/>
        <v>0</v>
      </c>
      <c r="F9" s="121">
        <f t="shared" ref="F9:F17" si="1">$C$20*C9</f>
        <v>0</v>
      </c>
      <c r="G9" s="163"/>
      <c r="I9" s="138" t="s">
        <v>139</v>
      </c>
      <c r="M9" s="7"/>
    </row>
    <row r="10" spans="1:13">
      <c r="A10" s="174"/>
      <c r="B10" s="4" t="s">
        <v>18</v>
      </c>
      <c r="C10" s="5">
        <f>0.00076/1000</f>
        <v>7.6000000000000003E-7</v>
      </c>
      <c r="D10" s="5" t="s">
        <v>24</v>
      </c>
      <c r="E10" s="121">
        <f t="shared" si="0"/>
        <v>0</v>
      </c>
      <c r="F10" s="121">
        <f t="shared" si="1"/>
        <v>0</v>
      </c>
      <c r="G10" s="163"/>
      <c r="I10" s="138" t="s">
        <v>140</v>
      </c>
    </row>
    <row r="11" spans="1:13">
      <c r="A11" s="175"/>
      <c r="B11" s="4" t="s">
        <v>14</v>
      </c>
      <c r="C11" s="5">
        <v>1.1337E-5</v>
      </c>
      <c r="D11" s="5" t="s">
        <v>24</v>
      </c>
      <c r="E11" s="121">
        <f t="shared" si="0"/>
        <v>0</v>
      </c>
      <c r="F11" s="121">
        <f t="shared" si="1"/>
        <v>0</v>
      </c>
      <c r="G11" s="163"/>
      <c r="I11" s="138" t="s">
        <v>141</v>
      </c>
    </row>
    <row r="12" spans="1:13">
      <c r="A12" s="164" t="s">
        <v>20</v>
      </c>
      <c r="B12" s="33" t="s">
        <v>8</v>
      </c>
      <c r="C12" s="5">
        <v>0.27</v>
      </c>
      <c r="D12" s="5" t="s">
        <v>24</v>
      </c>
      <c r="E12" s="121">
        <f t="shared" si="0"/>
        <v>0</v>
      </c>
      <c r="F12" s="121">
        <f t="shared" si="1"/>
        <v>0</v>
      </c>
      <c r="G12" s="167" t="s">
        <v>23</v>
      </c>
      <c r="I12" s="138" t="s">
        <v>142</v>
      </c>
    </row>
    <row r="13" spans="1:13">
      <c r="A13" s="165"/>
      <c r="B13" s="33" t="s">
        <v>9</v>
      </c>
      <c r="C13" s="5">
        <f>0.36/1000</f>
        <v>3.5999999999999997E-4</v>
      </c>
      <c r="D13" s="5" t="s">
        <v>24</v>
      </c>
      <c r="E13" s="121">
        <f t="shared" si="0"/>
        <v>0</v>
      </c>
      <c r="F13" s="121">
        <f t="shared" si="1"/>
        <v>0</v>
      </c>
      <c r="G13" s="168"/>
      <c r="I13" s="138" t="s">
        <v>143</v>
      </c>
    </row>
    <row r="14" spans="1:13">
      <c r="A14" s="165"/>
      <c r="B14" s="4" t="s">
        <v>6</v>
      </c>
      <c r="C14" s="5">
        <v>1.1389991E-5</v>
      </c>
      <c r="D14" s="5" t="s">
        <v>24</v>
      </c>
      <c r="E14" s="121">
        <f t="shared" si="0"/>
        <v>0</v>
      </c>
      <c r="F14" s="121">
        <f t="shared" si="1"/>
        <v>0</v>
      </c>
      <c r="G14" s="168"/>
      <c r="I14" s="138" t="s">
        <v>144</v>
      </c>
    </row>
    <row r="15" spans="1:13">
      <c r="A15" s="165"/>
      <c r="B15" s="5" t="s">
        <v>7</v>
      </c>
      <c r="C15" s="5">
        <f>0.06/1000</f>
        <v>5.9999999999999995E-5</v>
      </c>
      <c r="D15" s="5" t="s">
        <v>24</v>
      </c>
      <c r="E15" s="121">
        <f t="shared" si="0"/>
        <v>0</v>
      </c>
      <c r="F15" s="121">
        <f t="shared" si="1"/>
        <v>0</v>
      </c>
      <c r="G15" s="168"/>
      <c r="I15" s="138" t="s">
        <v>145</v>
      </c>
    </row>
    <row r="16" spans="1:13">
      <c r="A16" s="165"/>
      <c r="B16" s="5" t="s">
        <v>15</v>
      </c>
      <c r="C16" s="5">
        <v>0.51200000000000001</v>
      </c>
      <c r="D16" s="5" t="s">
        <v>24</v>
      </c>
      <c r="E16" s="121">
        <f t="shared" si="0"/>
        <v>0</v>
      </c>
      <c r="F16" s="121">
        <f t="shared" si="1"/>
        <v>0</v>
      </c>
      <c r="G16" s="168"/>
      <c r="I16" s="138" t="s">
        <v>146</v>
      </c>
    </row>
    <row r="17" spans="1:10">
      <c r="A17" s="166"/>
      <c r="B17" s="32" t="s">
        <v>19</v>
      </c>
      <c r="C17" s="5">
        <v>0.871</v>
      </c>
      <c r="D17" s="5" t="s">
        <v>24</v>
      </c>
      <c r="E17" s="121">
        <f t="shared" si="0"/>
        <v>0</v>
      </c>
      <c r="F17" s="121">
        <f t="shared" si="1"/>
        <v>0</v>
      </c>
      <c r="G17" s="169"/>
      <c r="I17" s="138" t="s">
        <v>147</v>
      </c>
    </row>
    <row r="18" spans="1:10">
      <c r="A18" s="45"/>
      <c r="B18" s="46"/>
      <c r="C18" s="47"/>
      <c r="D18" s="11"/>
      <c r="E18" s="11"/>
      <c r="F18" s="11"/>
      <c r="G18" s="35"/>
      <c r="I18" s="138"/>
    </row>
    <row r="19" spans="1:10">
      <c r="A19" s="176" t="s">
        <v>30</v>
      </c>
      <c r="B19" s="177"/>
      <c r="C19" s="127">
        <f>D4*E229</f>
        <v>0</v>
      </c>
      <c r="E19" s="9" t="s">
        <v>27</v>
      </c>
      <c r="F19">
        <v>3.7789999999999999</v>
      </c>
      <c r="G19" t="s">
        <v>24</v>
      </c>
      <c r="I19" s="140"/>
    </row>
    <row r="20" spans="1:10">
      <c r="A20" s="181" t="s">
        <v>5</v>
      </c>
      <c r="B20" s="195"/>
      <c r="C20" s="127">
        <f>C19/F19</f>
        <v>0</v>
      </c>
      <c r="I20" s="138" t="s">
        <v>129</v>
      </c>
      <c r="J20" s="20"/>
    </row>
    <row r="21" spans="1:10">
      <c r="A21" s="178" t="s">
        <v>31</v>
      </c>
      <c r="B21" s="179"/>
      <c r="C21" s="141">
        <f>laptop_weight/(other_weight + image_weight + hdd_weight + mobile_weight + lcd_weight + ds_weight + crt_weight + laptop_weight)</f>
        <v>0</v>
      </c>
      <c r="E21" s="11"/>
      <c r="I21" s="138" t="s">
        <v>130</v>
      </c>
      <c r="J21" s="38"/>
    </row>
    <row r="22" spans="1:10">
      <c r="A22" s="176" t="s">
        <v>108</v>
      </c>
      <c r="B22" s="177"/>
      <c r="C22" s="127">
        <f>SUM(E8:E11)</f>
        <v>0</v>
      </c>
      <c r="I22" s="138" t="s">
        <v>113</v>
      </c>
      <c r="J22" s="38"/>
    </row>
    <row r="23" spans="1:10">
      <c r="A23" s="178" t="s">
        <v>109</v>
      </c>
      <c r="B23" s="179"/>
      <c r="C23" s="127">
        <f>SUM(F8:F11)</f>
        <v>0</v>
      </c>
      <c r="I23" s="138"/>
      <c r="J23" s="17"/>
    </row>
    <row r="24" spans="1:10">
      <c r="A24" s="70"/>
      <c r="B24" s="70" t="s">
        <v>74</v>
      </c>
      <c r="C24" s="128">
        <f>E7+E6</f>
        <v>0</v>
      </c>
      <c r="I24" s="138" t="s">
        <v>114</v>
      </c>
      <c r="J24" s="17"/>
    </row>
    <row r="25" spans="1:10">
      <c r="B25" s="70" t="s">
        <v>73</v>
      </c>
      <c r="C25" s="128">
        <f>F6+F7</f>
        <v>0</v>
      </c>
      <c r="I25" s="99"/>
      <c r="J25" s="17"/>
    </row>
    <row r="26" spans="1:10">
      <c r="A26" s="35"/>
      <c r="F26" s="11"/>
      <c r="I26" s="100"/>
      <c r="J26" s="20"/>
    </row>
    <row r="27" spans="1:10" s="11" customFormat="1" ht="17">
      <c r="A27" s="170" t="s">
        <v>61</v>
      </c>
      <c r="B27" s="171"/>
      <c r="C27" s="171"/>
      <c r="D27" s="171"/>
      <c r="E27" s="171"/>
      <c r="F27" s="42"/>
      <c r="H27" s="17"/>
      <c r="I27" s="102" t="s">
        <v>83</v>
      </c>
      <c r="J27" s="20"/>
    </row>
    <row r="28" spans="1:10" ht="17" customHeight="1">
      <c r="B28" s="79" t="s">
        <v>131</v>
      </c>
      <c r="C28" s="79"/>
      <c r="D28" s="80">
        <v>0</v>
      </c>
      <c r="I28" s="99"/>
      <c r="J28" s="17"/>
    </row>
    <row r="29" spans="1:10">
      <c r="A29" s="34" t="s">
        <v>0</v>
      </c>
      <c r="B29" s="34" t="s">
        <v>3</v>
      </c>
      <c r="C29" s="34" t="s">
        <v>1</v>
      </c>
      <c r="D29" s="34" t="s">
        <v>2</v>
      </c>
      <c r="E29" s="34" t="s">
        <v>22</v>
      </c>
      <c r="F29" s="3" t="s">
        <v>26</v>
      </c>
      <c r="I29" s="99"/>
      <c r="J29" s="17"/>
    </row>
    <row r="30" spans="1:10">
      <c r="A30" s="161" t="s">
        <v>21</v>
      </c>
      <c r="B30" s="32" t="s">
        <v>70</v>
      </c>
      <c r="C30" s="103">
        <v>2.99364E-5</v>
      </c>
      <c r="D30" s="67" t="s">
        <v>72</v>
      </c>
      <c r="E30" s="121">
        <f t="shared" ref="E30:E41" si="2">F30/$E$229</f>
        <v>0</v>
      </c>
      <c r="F30" s="121">
        <f>C30*C43*C199</f>
        <v>0</v>
      </c>
      <c r="G30" s="163" t="s">
        <v>57</v>
      </c>
      <c r="I30" s="138" t="s">
        <v>111</v>
      </c>
      <c r="J30" s="17"/>
    </row>
    <row r="31" spans="1:10">
      <c r="A31" s="162"/>
      <c r="B31" s="32" t="s">
        <v>136</v>
      </c>
      <c r="C31" s="5"/>
      <c r="D31" s="67"/>
      <c r="E31" s="121">
        <f t="shared" si="2"/>
        <v>0</v>
      </c>
      <c r="F31" s="121">
        <f>(C201*F40+C202*F39+C203*F38+C204*F37+C205*F36+C206*F41)*1000</f>
        <v>0</v>
      </c>
      <c r="G31" s="163"/>
      <c r="I31" s="138" t="s">
        <v>112</v>
      </c>
      <c r="J31" s="17"/>
    </row>
    <row r="32" spans="1:10">
      <c r="A32" s="184" t="s">
        <v>79</v>
      </c>
      <c r="B32" s="4" t="s">
        <v>16</v>
      </c>
      <c r="C32" s="32">
        <v>1.0820000000000001</v>
      </c>
      <c r="D32" s="5" t="s">
        <v>24</v>
      </c>
      <c r="E32" s="121">
        <f t="shared" si="2"/>
        <v>0</v>
      </c>
      <c r="F32" s="121">
        <f>$C$44*C32</f>
        <v>0</v>
      </c>
      <c r="G32" s="163"/>
      <c r="I32" s="138" t="s">
        <v>138</v>
      </c>
      <c r="J32" s="17"/>
    </row>
    <row r="33" spans="1:10">
      <c r="A33" s="184"/>
      <c r="B33" s="4" t="s">
        <v>17</v>
      </c>
      <c r="C33" s="5"/>
      <c r="D33" s="5"/>
      <c r="E33" s="121">
        <f t="shared" si="2"/>
        <v>0</v>
      </c>
      <c r="F33" s="121">
        <f>$C$44*C33</f>
        <v>0</v>
      </c>
      <c r="G33" s="163"/>
      <c r="I33" s="138" t="s">
        <v>139</v>
      </c>
      <c r="J33" s="17"/>
    </row>
    <row r="34" spans="1:10">
      <c r="A34" s="184"/>
      <c r="B34" s="4" t="s">
        <v>18</v>
      </c>
      <c r="C34" s="5">
        <v>2.4800000000000001E-4</v>
      </c>
      <c r="D34" s="5" t="s">
        <v>24</v>
      </c>
      <c r="E34" s="121">
        <f t="shared" si="2"/>
        <v>0</v>
      </c>
      <c r="F34" s="121">
        <f>$C$44*C34</f>
        <v>0</v>
      </c>
      <c r="G34" s="163"/>
      <c r="I34" s="138" t="s">
        <v>140</v>
      </c>
      <c r="J34" s="17"/>
    </row>
    <row r="35" spans="1:10">
      <c r="A35" s="184"/>
      <c r="B35" s="4" t="s">
        <v>14</v>
      </c>
      <c r="C35" s="5">
        <v>1.51032E-4</v>
      </c>
      <c r="D35" s="5" t="s">
        <v>24</v>
      </c>
      <c r="E35" s="121">
        <f t="shared" si="2"/>
        <v>0</v>
      </c>
      <c r="F35" s="121">
        <f t="shared" ref="F35:F41" si="3">$C$44*C35</f>
        <v>0</v>
      </c>
      <c r="G35" s="163"/>
      <c r="I35" s="138" t="s">
        <v>141</v>
      </c>
      <c r="J35" s="17"/>
    </row>
    <row r="36" spans="1:10">
      <c r="A36" s="172" t="s">
        <v>20</v>
      </c>
      <c r="B36" s="33" t="s">
        <v>8</v>
      </c>
      <c r="C36" s="5">
        <v>1.1225000000000001</v>
      </c>
      <c r="D36" s="5" t="s">
        <v>24</v>
      </c>
      <c r="E36" s="121">
        <f t="shared" si="2"/>
        <v>0</v>
      </c>
      <c r="F36" s="121">
        <f t="shared" si="3"/>
        <v>0</v>
      </c>
      <c r="G36" s="158" t="s">
        <v>23</v>
      </c>
      <c r="I36" s="138" t="s">
        <v>142</v>
      </c>
      <c r="J36" s="17"/>
    </row>
    <row r="37" spans="1:10">
      <c r="A37" s="172"/>
      <c r="B37" s="33" t="s">
        <v>9</v>
      </c>
      <c r="C37" s="5">
        <v>1.079E-5</v>
      </c>
      <c r="D37" s="5" t="s">
        <v>24</v>
      </c>
      <c r="E37" s="121">
        <f t="shared" si="2"/>
        <v>0</v>
      </c>
      <c r="F37" s="121">
        <f t="shared" si="3"/>
        <v>0</v>
      </c>
      <c r="G37" s="159"/>
      <c r="I37" s="138" t="s">
        <v>143</v>
      </c>
      <c r="J37" s="17"/>
    </row>
    <row r="38" spans="1:10">
      <c r="A38" s="172"/>
      <c r="B38" s="4" t="s">
        <v>6</v>
      </c>
      <c r="C38" s="5">
        <v>4.7457199999999997E-5</v>
      </c>
      <c r="D38" s="5" t="s">
        <v>24</v>
      </c>
      <c r="E38" s="121">
        <f t="shared" si="2"/>
        <v>0</v>
      </c>
      <c r="F38" s="121">
        <f t="shared" si="3"/>
        <v>0</v>
      </c>
      <c r="G38" s="159"/>
      <c r="I38" s="138" t="s">
        <v>144</v>
      </c>
      <c r="J38" s="17"/>
    </row>
    <row r="39" spans="1:10">
      <c r="A39" s="172"/>
      <c r="B39" s="5" t="s">
        <v>7</v>
      </c>
      <c r="C39" s="5">
        <v>4.3149999999999999E-5</v>
      </c>
      <c r="D39" s="5" t="s">
        <v>24</v>
      </c>
      <c r="E39" s="121">
        <f t="shared" si="2"/>
        <v>0</v>
      </c>
      <c r="F39" s="121">
        <f t="shared" si="3"/>
        <v>0</v>
      </c>
      <c r="G39" s="159"/>
      <c r="I39" s="138" t="s">
        <v>145</v>
      </c>
      <c r="J39" s="20"/>
    </row>
    <row r="40" spans="1:10">
      <c r="A40" s="172"/>
      <c r="B40" s="5" t="s">
        <v>15</v>
      </c>
      <c r="C40" s="5">
        <v>0.15856999999999999</v>
      </c>
      <c r="D40" s="5" t="s">
        <v>24</v>
      </c>
      <c r="E40" s="121">
        <f t="shared" si="2"/>
        <v>0</v>
      </c>
      <c r="F40" s="121">
        <f t="shared" si="3"/>
        <v>0</v>
      </c>
      <c r="G40" s="159"/>
      <c r="I40" s="138" t="s">
        <v>146</v>
      </c>
      <c r="J40" s="39"/>
    </row>
    <row r="41" spans="1:10">
      <c r="A41" s="172"/>
      <c r="B41" s="32" t="s">
        <v>19</v>
      </c>
      <c r="C41" s="5">
        <v>6.0511999999999997</v>
      </c>
      <c r="D41" s="5" t="s">
        <v>24</v>
      </c>
      <c r="E41" s="121">
        <f t="shared" si="2"/>
        <v>0</v>
      </c>
      <c r="F41" s="121">
        <f t="shared" si="3"/>
        <v>0</v>
      </c>
      <c r="G41" s="160"/>
      <c r="I41" s="138" t="s">
        <v>147</v>
      </c>
      <c r="J41" s="39"/>
    </row>
    <row r="42" spans="1:10">
      <c r="A42" s="30"/>
      <c r="B42" s="11"/>
      <c r="C42" s="11"/>
      <c r="D42" s="11"/>
      <c r="E42" s="11"/>
      <c r="F42" s="11"/>
      <c r="I42" s="138"/>
      <c r="J42" s="39"/>
    </row>
    <row r="43" spans="1:10">
      <c r="A43" s="176" t="s">
        <v>62</v>
      </c>
      <c r="B43" s="177"/>
      <c r="C43" s="127">
        <f>D28*E229</f>
        <v>0</v>
      </c>
      <c r="D43" s="11"/>
      <c r="E43" s="9" t="s">
        <v>27</v>
      </c>
      <c r="F43">
        <v>24.8</v>
      </c>
      <c r="G43" t="s">
        <v>24</v>
      </c>
      <c r="I43" s="140"/>
      <c r="J43" s="39"/>
    </row>
    <row r="44" spans="1:10">
      <c r="A44" s="181" t="s">
        <v>5</v>
      </c>
      <c r="B44" s="195"/>
      <c r="C44" s="127">
        <f>C43/F43</f>
        <v>0</v>
      </c>
      <c r="D44" s="11"/>
      <c r="E44" s="11"/>
      <c r="I44" s="138" t="s">
        <v>129</v>
      </c>
      <c r="J44" s="39"/>
    </row>
    <row r="45" spans="1:10">
      <c r="A45" s="178" t="s">
        <v>31</v>
      </c>
      <c r="B45" s="179"/>
      <c r="C45" s="141">
        <f>crt_weight/(other_weight + image_weight + hdd_weight + mobile_weight + lcd_weight + ds_weight + crt_weight + laptop_weight)</f>
        <v>0</v>
      </c>
      <c r="H45" s="55"/>
      <c r="I45" s="138" t="s">
        <v>130</v>
      </c>
      <c r="J45" s="39"/>
    </row>
    <row r="46" spans="1:10">
      <c r="A46" s="176" t="s">
        <v>108</v>
      </c>
      <c r="B46" s="177"/>
      <c r="C46" s="127">
        <f>SUM(E32:E35)</f>
        <v>0</v>
      </c>
      <c r="D46" s="11"/>
      <c r="E46" s="11"/>
      <c r="I46" s="138" t="s">
        <v>113</v>
      </c>
      <c r="J46" s="39"/>
    </row>
    <row r="47" spans="1:10">
      <c r="A47" s="178" t="s">
        <v>109</v>
      </c>
      <c r="B47" s="179"/>
      <c r="C47" s="127">
        <f>SUM(F32:F35)</f>
        <v>0</v>
      </c>
      <c r="D47" s="11"/>
      <c r="E47" s="11"/>
      <c r="I47" s="138"/>
      <c r="J47" s="39"/>
    </row>
    <row r="48" spans="1:10">
      <c r="A48" s="70"/>
      <c r="B48" s="70" t="s">
        <v>74</v>
      </c>
      <c r="C48" s="128">
        <f>E30+E31</f>
        <v>0</v>
      </c>
      <c r="D48" s="11"/>
      <c r="E48" s="11"/>
      <c r="I48" s="138" t="s">
        <v>114</v>
      </c>
      <c r="J48" s="39"/>
    </row>
    <row r="49" spans="1:10">
      <c r="B49" s="70" t="s">
        <v>73</v>
      </c>
      <c r="C49" s="128">
        <f>F30+F31</f>
        <v>0</v>
      </c>
      <c r="I49" s="99"/>
      <c r="J49" s="40"/>
    </row>
    <row r="50" spans="1:10">
      <c r="I50" s="99"/>
      <c r="J50" s="17"/>
    </row>
    <row r="51" spans="1:10" s="11" customFormat="1" ht="21">
      <c r="A51" s="170" t="s">
        <v>58</v>
      </c>
      <c r="B51" s="170"/>
      <c r="C51" s="170"/>
      <c r="D51" s="170"/>
      <c r="E51" s="170"/>
      <c r="F51" s="42"/>
      <c r="H51" s="17"/>
      <c r="I51" s="99" t="s">
        <v>82</v>
      </c>
      <c r="J51" s="39"/>
    </row>
    <row r="52" spans="1:10" s="22" customFormat="1" ht="23" customHeight="1">
      <c r="A52" s="48"/>
      <c r="B52" s="79" t="s">
        <v>131</v>
      </c>
      <c r="C52" s="81"/>
      <c r="D52" s="82">
        <v>0</v>
      </c>
      <c r="F52" s="20"/>
      <c r="I52" s="99"/>
      <c r="J52" s="39"/>
    </row>
    <row r="53" spans="1:10">
      <c r="A53" s="34" t="s">
        <v>0</v>
      </c>
      <c r="B53" s="34" t="s">
        <v>3</v>
      </c>
      <c r="C53" s="34" t="s">
        <v>1</v>
      </c>
      <c r="D53" s="34" t="s">
        <v>2</v>
      </c>
      <c r="E53" s="34" t="s">
        <v>22</v>
      </c>
      <c r="F53" s="44" t="s">
        <v>26</v>
      </c>
      <c r="I53" s="99"/>
      <c r="J53" s="39"/>
    </row>
    <row r="54" spans="1:10">
      <c r="A54" s="161" t="s">
        <v>21</v>
      </c>
      <c r="B54" s="32" t="s">
        <v>70</v>
      </c>
      <c r="C54" s="103">
        <v>2.99364E-5</v>
      </c>
      <c r="D54" s="67" t="s">
        <v>72</v>
      </c>
      <c r="E54" s="121">
        <f t="shared" ref="E54:E65" si="4">F54/$E$229</f>
        <v>0</v>
      </c>
      <c r="F54" s="122">
        <f>C54*C67*C199</f>
        <v>0</v>
      </c>
      <c r="I54" s="99"/>
      <c r="J54" s="39"/>
    </row>
    <row r="55" spans="1:10">
      <c r="A55" s="162"/>
      <c r="B55" s="32" t="s">
        <v>136</v>
      </c>
      <c r="C55" s="5"/>
      <c r="D55" s="67"/>
      <c r="E55" s="121">
        <f t="shared" si="4"/>
        <v>0</v>
      </c>
      <c r="F55" s="121">
        <f>(C201*F64+C202*F63+C203*F62+C204*F61+C205*F60+C206*F65)*1000</f>
        <v>0</v>
      </c>
      <c r="G55" s="158" t="s">
        <v>57</v>
      </c>
      <c r="I55" s="138" t="s">
        <v>111</v>
      </c>
      <c r="J55" s="39"/>
    </row>
    <row r="56" spans="1:10">
      <c r="A56" s="173" t="s">
        <v>79</v>
      </c>
      <c r="B56" s="4" t="s">
        <v>16</v>
      </c>
      <c r="C56" s="5">
        <v>1.9800000000000002E-2</v>
      </c>
      <c r="D56" s="5" t="s">
        <v>24</v>
      </c>
      <c r="E56" s="121">
        <f t="shared" si="4"/>
        <v>0</v>
      </c>
      <c r="F56" s="121">
        <f>$C$68*C56</f>
        <v>0</v>
      </c>
      <c r="G56" s="159"/>
      <c r="I56" s="138" t="s">
        <v>112</v>
      </c>
      <c r="J56" s="39"/>
    </row>
    <row r="57" spans="1:10">
      <c r="A57" s="174"/>
      <c r="B57" s="4" t="s">
        <v>17</v>
      </c>
      <c r="C57" s="5"/>
      <c r="D57" s="5"/>
      <c r="E57" s="121">
        <f t="shared" si="4"/>
        <v>0</v>
      </c>
      <c r="F57" s="121">
        <f>$C$68*C57</f>
        <v>0</v>
      </c>
      <c r="G57" s="159"/>
      <c r="I57" s="138" t="s">
        <v>138</v>
      </c>
      <c r="J57" s="17"/>
    </row>
    <row r="58" spans="1:10">
      <c r="A58" s="174"/>
      <c r="B58" s="4" t="s">
        <v>18</v>
      </c>
      <c r="C58" s="5"/>
      <c r="D58" s="5"/>
      <c r="E58" s="121">
        <f t="shared" si="4"/>
        <v>0</v>
      </c>
      <c r="F58" s="121">
        <f>$C$68*C58</f>
        <v>0</v>
      </c>
      <c r="G58" s="159"/>
      <c r="I58" s="138" t="s">
        <v>139</v>
      </c>
      <c r="J58" s="17"/>
    </row>
    <row r="59" spans="1:10">
      <c r="A59" s="175"/>
      <c r="B59" s="4" t="s">
        <v>14</v>
      </c>
      <c r="C59" s="5">
        <v>3.9600000000000003E-2</v>
      </c>
      <c r="D59" s="5" t="s">
        <v>24</v>
      </c>
      <c r="E59" s="121">
        <f t="shared" si="4"/>
        <v>0</v>
      </c>
      <c r="F59" s="121">
        <f t="shared" ref="F59" si="5">$C$68*C59</f>
        <v>0</v>
      </c>
      <c r="G59" s="160"/>
      <c r="I59" s="138" t="s">
        <v>140</v>
      </c>
      <c r="J59" s="17"/>
    </row>
    <row r="60" spans="1:10">
      <c r="A60" s="164" t="s">
        <v>20</v>
      </c>
      <c r="B60" s="33" t="s">
        <v>8</v>
      </c>
      <c r="C60" s="5">
        <v>0.1069</v>
      </c>
      <c r="D60" s="5" t="s">
        <v>24</v>
      </c>
      <c r="E60" s="121">
        <f t="shared" si="4"/>
        <v>0</v>
      </c>
      <c r="F60" s="121">
        <f t="shared" ref="F60:F65" si="6">$C$68*C60</f>
        <v>0</v>
      </c>
      <c r="G60" s="158" t="s">
        <v>23</v>
      </c>
      <c r="I60" s="138" t="s">
        <v>141</v>
      </c>
      <c r="J60" s="41"/>
    </row>
    <row r="61" spans="1:10">
      <c r="A61" s="165"/>
      <c r="B61" s="33" t="s">
        <v>9</v>
      </c>
      <c r="C61" s="5">
        <v>2.9700000000000001E-4</v>
      </c>
      <c r="D61" s="5" t="s">
        <v>24</v>
      </c>
      <c r="E61" s="121">
        <f t="shared" si="4"/>
        <v>0</v>
      </c>
      <c r="F61" s="121">
        <f t="shared" si="6"/>
        <v>0</v>
      </c>
      <c r="G61" s="159"/>
      <c r="I61" s="138" t="s">
        <v>142</v>
      </c>
      <c r="J61" s="41"/>
    </row>
    <row r="62" spans="1:10">
      <c r="A62" s="165"/>
      <c r="B62" s="4" t="s">
        <v>6</v>
      </c>
      <c r="C62" s="5">
        <v>2.0473199999999999E-5</v>
      </c>
      <c r="D62" s="5" t="s">
        <v>24</v>
      </c>
      <c r="E62" s="121">
        <f t="shared" si="4"/>
        <v>0</v>
      </c>
      <c r="F62" s="121">
        <f t="shared" si="6"/>
        <v>0</v>
      </c>
      <c r="G62" s="159"/>
      <c r="I62" s="138" t="s">
        <v>143</v>
      </c>
      <c r="J62" s="17"/>
    </row>
    <row r="63" spans="1:10">
      <c r="A63" s="165"/>
      <c r="B63" s="5" t="s">
        <v>7</v>
      </c>
      <c r="C63" s="5">
        <v>1.3960000000000001E-4</v>
      </c>
      <c r="D63" s="5" t="s">
        <v>24</v>
      </c>
      <c r="E63" s="121">
        <f t="shared" si="4"/>
        <v>0</v>
      </c>
      <c r="F63" s="121">
        <f t="shared" si="6"/>
        <v>0</v>
      </c>
      <c r="G63" s="159"/>
      <c r="I63" s="138" t="s">
        <v>144</v>
      </c>
      <c r="J63" s="17"/>
    </row>
    <row r="64" spans="1:10">
      <c r="A64" s="165"/>
      <c r="B64" s="5" t="s">
        <v>15</v>
      </c>
      <c r="C64" s="5">
        <v>0.35639999999999999</v>
      </c>
      <c r="D64" s="5" t="s">
        <v>24</v>
      </c>
      <c r="E64" s="121">
        <f t="shared" si="4"/>
        <v>0</v>
      </c>
      <c r="F64" s="121">
        <f t="shared" si="6"/>
        <v>0</v>
      </c>
      <c r="G64" s="159"/>
      <c r="I64" s="138" t="s">
        <v>145</v>
      </c>
    </row>
    <row r="65" spans="1:10">
      <c r="A65" s="166"/>
      <c r="B65" s="32" t="s">
        <v>19</v>
      </c>
      <c r="C65" s="5">
        <v>4.9302000000000001</v>
      </c>
      <c r="D65" s="5" t="s">
        <v>24</v>
      </c>
      <c r="E65" s="121">
        <f t="shared" si="4"/>
        <v>0</v>
      </c>
      <c r="F65" s="121">
        <f t="shared" si="6"/>
        <v>0</v>
      </c>
      <c r="G65" s="160"/>
      <c r="I65" s="138" t="s">
        <v>146</v>
      </c>
    </row>
    <row r="66" spans="1:10">
      <c r="A66" s="30"/>
      <c r="B66" s="11"/>
      <c r="C66" s="11"/>
      <c r="D66" s="11"/>
      <c r="E66" s="11"/>
      <c r="F66" s="11"/>
      <c r="I66" s="138" t="s">
        <v>147</v>
      </c>
    </row>
    <row r="67" spans="1:10">
      <c r="A67" s="181" t="s">
        <v>63</v>
      </c>
      <c r="B67" s="182"/>
      <c r="C67" s="127">
        <f>D52*E229</f>
        <v>0</v>
      </c>
      <c r="D67" s="13"/>
      <c r="E67" s="9" t="s">
        <v>27</v>
      </c>
      <c r="F67">
        <v>9.9</v>
      </c>
      <c r="G67" t="s">
        <v>24</v>
      </c>
      <c r="I67" s="138"/>
    </row>
    <row r="68" spans="1:10">
      <c r="A68" s="181" t="s">
        <v>5</v>
      </c>
      <c r="B68" s="182"/>
      <c r="C68" s="129">
        <f>C67/F67</f>
        <v>0</v>
      </c>
      <c r="D68" s="7"/>
      <c r="E68" s="7"/>
      <c r="I68" s="140"/>
    </row>
    <row r="69" spans="1:10">
      <c r="A69" s="181" t="s">
        <v>31</v>
      </c>
      <c r="B69" s="182"/>
      <c r="C69" s="142">
        <f>ds_weight/(other_weight + image_weight + hdd_weight + mobile_weight + lcd_weight + ds_weight + crt_weight + laptop_weight)</f>
        <v>0</v>
      </c>
      <c r="I69" s="138" t="s">
        <v>129</v>
      </c>
    </row>
    <row r="70" spans="1:10">
      <c r="A70" s="176" t="s">
        <v>108</v>
      </c>
      <c r="B70" s="177"/>
      <c r="C70" s="130">
        <f>SUM(E56:E59)</f>
        <v>0</v>
      </c>
      <c r="I70" s="138" t="s">
        <v>130</v>
      </c>
    </row>
    <row r="71" spans="1:10">
      <c r="A71" s="178" t="s">
        <v>109</v>
      </c>
      <c r="B71" s="179"/>
      <c r="C71" s="130">
        <f>SUM(F56:F59)</f>
        <v>0</v>
      </c>
      <c r="I71" s="138" t="s">
        <v>113</v>
      </c>
    </row>
    <row r="72" spans="1:10">
      <c r="A72" s="69"/>
      <c r="B72" s="70" t="s">
        <v>74</v>
      </c>
      <c r="C72" s="128">
        <f>E54+E55</f>
        <v>0</v>
      </c>
      <c r="I72" s="138"/>
    </row>
    <row r="73" spans="1:10">
      <c r="B73" s="70" t="s">
        <v>73</v>
      </c>
      <c r="C73" s="128">
        <f>F54+F55</f>
        <v>0</v>
      </c>
      <c r="I73" s="138" t="s">
        <v>114</v>
      </c>
    </row>
    <row r="74" spans="1:10">
      <c r="I74" s="10"/>
    </row>
    <row r="75" spans="1:10" s="11" customFormat="1" ht="21">
      <c r="A75" s="180" t="s">
        <v>60</v>
      </c>
      <c r="B75" s="180"/>
      <c r="C75" s="180"/>
      <c r="D75" s="180"/>
      <c r="E75" s="180"/>
      <c r="F75" s="50"/>
      <c r="H75" s="17"/>
      <c r="I75" s="10"/>
      <c r="J75" s="99" t="s">
        <v>87</v>
      </c>
    </row>
    <row r="76" spans="1:10" s="22" customFormat="1" ht="21">
      <c r="A76" s="49"/>
      <c r="B76" s="79" t="s">
        <v>131</v>
      </c>
      <c r="C76" s="81"/>
      <c r="D76" s="82">
        <v>0</v>
      </c>
      <c r="F76" s="50"/>
      <c r="I76" s="99"/>
      <c r="J76" s="10" t="s">
        <v>84</v>
      </c>
    </row>
    <row r="77" spans="1:10" s="22" customFormat="1">
      <c r="A77" s="34" t="s">
        <v>0</v>
      </c>
      <c r="B77" s="34" t="s">
        <v>3</v>
      </c>
      <c r="C77" s="34" t="s">
        <v>1</v>
      </c>
      <c r="D77" s="34" t="s">
        <v>2</v>
      </c>
      <c r="E77" s="34" t="s">
        <v>22</v>
      </c>
      <c r="F77" s="44" t="s">
        <v>26</v>
      </c>
      <c r="G77"/>
      <c r="I77" s="99"/>
      <c r="J77" s="99"/>
    </row>
    <row r="78" spans="1:10" s="22" customFormat="1">
      <c r="A78" s="161" t="s">
        <v>21</v>
      </c>
      <c r="B78" s="32" t="s">
        <v>70</v>
      </c>
      <c r="C78" s="103">
        <v>2.99364E-5</v>
      </c>
      <c r="D78" s="67" t="s">
        <v>72</v>
      </c>
      <c r="E78" s="121">
        <f t="shared" ref="E78:E89" si="7">F78/$E$229</f>
        <v>0</v>
      </c>
      <c r="F78" s="121">
        <f>C78*C91*C199</f>
        <v>0</v>
      </c>
      <c r="G78" s="163" t="s">
        <v>57</v>
      </c>
      <c r="I78" s="138" t="s">
        <v>111</v>
      </c>
      <c r="J78" s="99"/>
    </row>
    <row r="79" spans="1:10" s="22" customFormat="1">
      <c r="A79" s="162"/>
      <c r="B79" s="32" t="s">
        <v>136</v>
      </c>
      <c r="C79" s="5"/>
      <c r="D79" s="67"/>
      <c r="E79" s="121">
        <f t="shared" si="7"/>
        <v>0</v>
      </c>
      <c r="F79" s="121">
        <f>(C201*F88+C202*F87+C203*F86+C204*F85+C205*F84+C206*F89)*1000</f>
        <v>0</v>
      </c>
      <c r="G79" s="163"/>
      <c r="I79" s="138" t="s">
        <v>112</v>
      </c>
      <c r="J79" s="99"/>
    </row>
    <row r="80" spans="1:10" s="22" customFormat="1">
      <c r="A80" s="184" t="s">
        <v>79</v>
      </c>
      <c r="B80" s="4" t="s">
        <v>16</v>
      </c>
      <c r="C80" s="97">
        <v>1.0710000000000001E-2</v>
      </c>
      <c r="D80" s="5" t="s">
        <v>24</v>
      </c>
      <c r="E80" s="121">
        <f t="shared" si="7"/>
        <v>0</v>
      </c>
      <c r="F80" s="121">
        <f t="shared" ref="F80:F89" si="8">$C$92*C80</f>
        <v>0</v>
      </c>
      <c r="G80" s="163"/>
      <c r="I80" s="138" t="s">
        <v>138</v>
      </c>
      <c r="J80" s="99" t="s">
        <v>92</v>
      </c>
    </row>
    <row r="81" spans="1:10" s="22" customFormat="1">
      <c r="A81" s="184"/>
      <c r="B81" s="4" t="s">
        <v>17</v>
      </c>
      <c r="C81" s="5">
        <v>4.5739999999999999E-5</v>
      </c>
      <c r="D81" s="5" t="s">
        <v>24</v>
      </c>
      <c r="E81" s="121">
        <f t="shared" si="7"/>
        <v>0</v>
      </c>
      <c r="F81" s="121">
        <f t="shared" si="8"/>
        <v>0</v>
      </c>
      <c r="G81" s="163"/>
      <c r="I81" s="138" t="s">
        <v>139</v>
      </c>
      <c r="J81" s="99"/>
    </row>
    <row r="82" spans="1:10" s="22" customFormat="1">
      <c r="A82" s="184"/>
      <c r="B82" s="4" t="s">
        <v>18</v>
      </c>
      <c r="C82" s="5">
        <v>0</v>
      </c>
      <c r="D82" s="5" t="s">
        <v>24</v>
      </c>
      <c r="E82" s="121">
        <f t="shared" si="7"/>
        <v>0</v>
      </c>
      <c r="F82" s="121">
        <f t="shared" si="8"/>
        <v>0</v>
      </c>
      <c r="G82" s="163"/>
      <c r="I82" s="138" t="s">
        <v>140</v>
      </c>
      <c r="J82" s="99"/>
    </row>
    <row r="83" spans="1:10" s="22" customFormat="1">
      <c r="A83" s="184"/>
      <c r="B83" s="4" t="s">
        <v>14</v>
      </c>
      <c r="C83" s="5">
        <v>5.1780000000000002E-5</v>
      </c>
      <c r="D83" s="5" t="s">
        <v>24</v>
      </c>
      <c r="E83" s="121">
        <f t="shared" si="7"/>
        <v>0</v>
      </c>
      <c r="F83" s="121">
        <f t="shared" si="8"/>
        <v>0</v>
      </c>
      <c r="G83" s="163"/>
      <c r="I83" s="138" t="s">
        <v>141</v>
      </c>
      <c r="J83" s="99" t="s">
        <v>95</v>
      </c>
    </row>
    <row r="84" spans="1:10" s="22" customFormat="1">
      <c r="A84" s="172" t="s">
        <v>20</v>
      </c>
      <c r="B84" s="33" t="s">
        <v>8</v>
      </c>
      <c r="C84" s="5">
        <v>0.19777400000000001</v>
      </c>
      <c r="D84" s="5" t="s">
        <v>24</v>
      </c>
      <c r="E84" s="121">
        <f t="shared" si="7"/>
        <v>0</v>
      </c>
      <c r="F84" s="121">
        <f t="shared" si="8"/>
        <v>0</v>
      </c>
      <c r="G84" s="158" t="s">
        <v>23</v>
      </c>
      <c r="I84" s="138" t="s">
        <v>142</v>
      </c>
      <c r="J84" s="99" t="s">
        <v>96</v>
      </c>
    </row>
    <row r="85" spans="1:10">
      <c r="A85" s="172"/>
      <c r="B85" s="33" t="s">
        <v>9</v>
      </c>
      <c r="C85" s="37">
        <v>4.7470000000000004E-3</v>
      </c>
      <c r="D85" s="5" t="s">
        <v>24</v>
      </c>
      <c r="E85" s="121">
        <f t="shared" si="7"/>
        <v>0</v>
      </c>
      <c r="F85" s="121">
        <f t="shared" si="8"/>
        <v>0</v>
      </c>
      <c r="G85" s="159"/>
      <c r="I85" s="138" t="s">
        <v>143</v>
      </c>
      <c r="J85" s="10" t="s">
        <v>93</v>
      </c>
    </row>
    <row r="86" spans="1:10">
      <c r="A86" s="172"/>
      <c r="B86" s="4" t="s">
        <v>6</v>
      </c>
      <c r="C86" s="37">
        <v>4.4075000000000001E-5</v>
      </c>
      <c r="D86" s="5" t="s">
        <v>24</v>
      </c>
      <c r="E86" s="121">
        <f t="shared" si="7"/>
        <v>0</v>
      </c>
      <c r="F86" s="121">
        <f t="shared" si="8"/>
        <v>0</v>
      </c>
      <c r="G86" s="159"/>
      <c r="I86" s="138" t="s">
        <v>144</v>
      </c>
      <c r="J86" s="10"/>
    </row>
    <row r="87" spans="1:10">
      <c r="A87" s="172"/>
      <c r="B87" s="5" t="s">
        <v>7</v>
      </c>
      <c r="C87" s="37"/>
      <c r="D87" s="5" t="s">
        <v>24</v>
      </c>
      <c r="E87" s="121">
        <f t="shared" si="7"/>
        <v>0</v>
      </c>
      <c r="F87" s="121">
        <f t="shared" si="8"/>
        <v>0</v>
      </c>
      <c r="G87" s="159"/>
      <c r="I87" s="138" t="s">
        <v>145</v>
      </c>
      <c r="J87" s="10"/>
    </row>
    <row r="88" spans="1:10">
      <c r="A88" s="172"/>
      <c r="B88" s="5" t="s">
        <v>15</v>
      </c>
      <c r="C88" s="5">
        <v>0.40388000000000002</v>
      </c>
      <c r="D88" s="5" t="s">
        <v>24</v>
      </c>
      <c r="E88" s="121">
        <f t="shared" si="7"/>
        <v>0</v>
      </c>
      <c r="F88" s="121">
        <f t="shared" si="8"/>
        <v>0</v>
      </c>
      <c r="G88" s="159"/>
      <c r="I88" s="138" t="s">
        <v>146</v>
      </c>
      <c r="J88" s="10"/>
    </row>
    <row r="89" spans="1:10">
      <c r="A89" s="172"/>
      <c r="B89" s="32" t="s">
        <v>19</v>
      </c>
      <c r="C89" s="5">
        <v>7.6151</v>
      </c>
      <c r="D89" s="5" t="s">
        <v>24</v>
      </c>
      <c r="E89" s="121">
        <f t="shared" si="7"/>
        <v>0</v>
      </c>
      <c r="F89" s="121">
        <f t="shared" si="8"/>
        <v>0</v>
      </c>
      <c r="G89" s="160"/>
      <c r="I89" s="138" t="s">
        <v>147</v>
      </c>
      <c r="J89" s="10"/>
    </row>
    <row r="90" spans="1:10">
      <c r="B90" s="2"/>
      <c r="D90" s="60"/>
      <c r="I90" s="138"/>
      <c r="J90" s="10"/>
    </row>
    <row r="91" spans="1:10">
      <c r="A91" s="181" t="s">
        <v>86</v>
      </c>
      <c r="B91" s="182"/>
      <c r="C91" s="130">
        <f>D76*E229</f>
        <v>0</v>
      </c>
      <c r="E91" s="9" t="s">
        <v>27</v>
      </c>
      <c r="F91">
        <v>17.260000000000002</v>
      </c>
      <c r="G91" t="s">
        <v>24</v>
      </c>
      <c r="I91" s="140"/>
      <c r="J91" s="10" t="s">
        <v>85</v>
      </c>
    </row>
    <row r="92" spans="1:10">
      <c r="A92" s="181" t="s">
        <v>5</v>
      </c>
      <c r="B92" s="182"/>
      <c r="C92" s="130">
        <f>C91/F91</f>
        <v>0</v>
      </c>
      <c r="I92" s="138" t="s">
        <v>129</v>
      </c>
      <c r="J92" s="10"/>
    </row>
    <row r="93" spans="1:10">
      <c r="A93" s="181" t="s">
        <v>31</v>
      </c>
      <c r="B93" s="182"/>
      <c r="C93" s="142">
        <f>lcd_weight/(other_weight + image_weight + hdd_weight + mobile_weight + lcd_weight + ds_weight + crt_weight + laptop_weight)</f>
        <v>0</v>
      </c>
      <c r="I93" s="138" t="s">
        <v>130</v>
      </c>
    </row>
    <row r="94" spans="1:10">
      <c r="A94" s="176" t="s">
        <v>108</v>
      </c>
      <c r="B94" s="177"/>
      <c r="C94" s="130">
        <f>SUM(E80:E83)</f>
        <v>0</v>
      </c>
      <c r="D94" s="8"/>
      <c r="E94" s="7"/>
      <c r="F94" s="7"/>
      <c r="I94" s="138" t="s">
        <v>113</v>
      </c>
    </row>
    <row r="95" spans="1:10">
      <c r="A95" s="178" t="s">
        <v>109</v>
      </c>
      <c r="B95" s="179"/>
      <c r="C95" s="130">
        <f>SUM(F80:F83)</f>
        <v>0</v>
      </c>
      <c r="I95" s="138"/>
    </row>
    <row r="96" spans="1:10">
      <c r="A96" s="69"/>
      <c r="B96" s="70" t="s">
        <v>74</v>
      </c>
      <c r="C96" s="128">
        <f>E78+E79</f>
        <v>0</v>
      </c>
      <c r="I96" s="138" t="s">
        <v>114</v>
      </c>
    </row>
    <row r="97" spans="1:9">
      <c r="B97" s="70" t="s">
        <v>73</v>
      </c>
      <c r="C97" s="128">
        <f>F78+F79</f>
        <v>0</v>
      </c>
      <c r="I97" s="10"/>
    </row>
    <row r="98" spans="1:9">
      <c r="I98" s="10"/>
    </row>
    <row r="99" spans="1:9" s="11" customFormat="1" ht="21">
      <c r="A99" s="180" t="s">
        <v>4</v>
      </c>
      <c r="B99" s="180"/>
      <c r="C99" s="180"/>
      <c r="D99" s="180"/>
      <c r="E99" s="180"/>
      <c r="F99" s="50"/>
      <c r="H99" s="17"/>
      <c r="I99" s="10"/>
    </row>
    <row r="100" spans="1:9" s="22" customFormat="1" ht="21">
      <c r="A100" s="49"/>
      <c r="B100" s="83" t="s">
        <v>131</v>
      </c>
      <c r="C100" s="83"/>
      <c r="D100" s="82">
        <v>0</v>
      </c>
      <c r="E100" s="50"/>
      <c r="F100" s="50"/>
      <c r="I100" s="99"/>
    </row>
    <row r="101" spans="1:9">
      <c r="A101" s="34" t="s">
        <v>0</v>
      </c>
      <c r="B101" s="34" t="s">
        <v>3</v>
      </c>
      <c r="C101" s="34" t="s">
        <v>1</v>
      </c>
      <c r="D101" s="34" t="s">
        <v>2</v>
      </c>
      <c r="E101" s="34" t="s">
        <v>22</v>
      </c>
      <c r="F101" s="44" t="s">
        <v>26</v>
      </c>
      <c r="I101" s="10"/>
    </row>
    <row r="102" spans="1:9">
      <c r="A102" s="161" t="s">
        <v>21</v>
      </c>
      <c r="B102" s="32" t="s">
        <v>70</v>
      </c>
      <c r="C102" s="103">
        <v>2.99364E-5</v>
      </c>
      <c r="D102" s="67" t="s">
        <v>72</v>
      </c>
      <c r="E102" s="121">
        <f t="shared" ref="E102:E113" si="9">F102/$E$229</f>
        <v>0</v>
      </c>
      <c r="F102" s="122">
        <f>C102*C115*C199</f>
        <v>0</v>
      </c>
      <c r="I102" s="138" t="s">
        <v>111</v>
      </c>
    </row>
    <row r="103" spans="1:9">
      <c r="A103" s="162"/>
      <c r="B103" s="32" t="s">
        <v>136</v>
      </c>
      <c r="C103" s="5"/>
      <c r="D103" s="67"/>
      <c r="E103" s="121">
        <f t="shared" si="9"/>
        <v>0</v>
      </c>
      <c r="F103" s="121">
        <f>(C201*F112+C202*F111+C203*F110+C204*F109+C205*F108+C206*F113)*1000</f>
        <v>0</v>
      </c>
      <c r="G103" s="158" t="s">
        <v>57</v>
      </c>
      <c r="I103" s="138" t="s">
        <v>112</v>
      </c>
    </row>
    <row r="104" spans="1:9">
      <c r="A104" s="184" t="s">
        <v>79</v>
      </c>
      <c r="B104" s="4" t="s">
        <v>16</v>
      </c>
      <c r="C104" s="5">
        <f>0.339/1000</f>
        <v>3.39E-4</v>
      </c>
      <c r="D104" s="5" t="s">
        <v>24</v>
      </c>
      <c r="E104" s="121">
        <f t="shared" si="9"/>
        <v>0</v>
      </c>
      <c r="F104" s="121">
        <f t="shared" ref="F104:F113" si="10">$C$116*C104</f>
        <v>0</v>
      </c>
      <c r="G104" s="159"/>
      <c r="I104" s="138" t="s">
        <v>138</v>
      </c>
    </row>
    <row r="105" spans="1:9">
      <c r="A105" s="184"/>
      <c r="B105" s="4" t="s">
        <v>17</v>
      </c>
      <c r="C105" s="5">
        <f>0.00004/1000</f>
        <v>4.0000000000000001E-8</v>
      </c>
      <c r="D105" s="5" t="s">
        <v>24</v>
      </c>
      <c r="E105" s="121">
        <f t="shared" si="9"/>
        <v>0</v>
      </c>
      <c r="F105" s="121">
        <f t="shared" si="10"/>
        <v>0</v>
      </c>
      <c r="G105" s="159"/>
      <c r="I105" s="138" t="s">
        <v>139</v>
      </c>
    </row>
    <row r="106" spans="1:9">
      <c r="A106" s="184"/>
      <c r="B106" s="4" t="s">
        <v>18</v>
      </c>
      <c r="C106" s="5">
        <f>0.0003/1000</f>
        <v>2.9999999999999999E-7</v>
      </c>
      <c r="D106" s="5" t="s">
        <v>24</v>
      </c>
      <c r="E106" s="121">
        <f t="shared" si="9"/>
        <v>0</v>
      </c>
      <c r="F106" s="121">
        <f t="shared" si="10"/>
        <v>0</v>
      </c>
      <c r="G106" s="159"/>
      <c r="I106" s="138" t="s">
        <v>140</v>
      </c>
    </row>
    <row r="107" spans="1:9">
      <c r="A107" s="184"/>
      <c r="B107" s="4" t="s">
        <v>14</v>
      </c>
      <c r="C107" s="5">
        <v>2.4967300000000001E-6</v>
      </c>
      <c r="D107" s="5" t="s">
        <v>24</v>
      </c>
      <c r="E107" s="121">
        <f t="shared" si="9"/>
        <v>0</v>
      </c>
      <c r="F107" s="121">
        <f t="shared" si="10"/>
        <v>0</v>
      </c>
      <c r="G107" s="160"/>
      <c r="I107" s="138" t="s">
        <v>141</v>
      </c>
    </row>
    <row r="108" spans="1:9">
      <c r="A108" s="172" t="s">
        <v>20</v>
      </c>
      <c r="B108" s="33" t="s">
        <v>8</v>
      </c>
      <c r="C108" s="5">
        <v>1.6E-2</v>
      </c>
      <c r="D108" s="5" t="s">
        <v>24</v>
      </c>
      <c r="E108" s="121">
        <f t="shared" si="9"/>
        <v>0</v>
      </c>
      <c r="F108" s="121">
        <f t="shared" si="10"/>
        <v>0</v>
      </c>
      <c r="G108" s="158" t="s">
        <v>23</v>
      </c>
      <c r="I108" s="138" t="s">
        <v>142</v>
      </c>
    </row>
    <row r="109" spans="1:9">
      <c r="A109" s="172"/>
      <c r="B109" s="33" t="s">
        <v>9</v>
      </c>
      <c r="C109" s="5">
        <v>3.4E-5</v>
      </c>
      <c r="D109" s="5" t="s">
        <v>24</v>
      </c>
      <c r="E109" s="121">
        <f t="shared" si="9"/>
        <v>0</v>
      </c>
      <c r="F109" s="121">
        <f t="shared" si="10"/>
        <v>0</v>
      </c>
      <c r="G109" s="159"/>
      <c r="I109" s="138" t="s">
        <v>143</v>
      </c>
    </row>
    <row r="110" spans="1:9">
      <c r="A110" s="172"/>
      <c r="B110" s="4" t="s">
        <v>6</v>
      </c>
      <c r="C110" s="5">
        <v>3.3999999999999997E-7</v>
      </c>
      <c r="D110" s="5" t="s">
        <v>24</v>
      </c>
      <c r="E110" s="121">
        <f t="shared" si="9"/>
        <v>0</v>
      </c>
      <c r="F110" s="121">
        <f t="shared" si="10"/>
        <v>0</v>
      </c>
      <c r="G110" s="159"/>
      <c r="I110" s="138" t="s">
        <v>144</v>
      </c>
    </row>
    <row r="111" spans="1:9">
      <c r="A111" s="172"/>
      <c r="B111" s="5" t="s">
        <v>7</v>
      </c>
      <c r="C111" s="5">
        <v>1.5E-5</v>
      </c>
      <c r="D111" s="5" t="s">
        <v>24</v>
      </c>
      <c r="E111" s="121">
        <f t="shared" si="9"/>
        <v>0</v>
      </c>
      <c r="F111" s="121">
        <f t="shared" si="10"/>
        <v>0</v>
      </c>
      <c r="G111" s="159"/>
      <c r="I111" s="138" t="s">
        <v>145</v>
      </c>
    </row>
    <row r="112" spans="1:9">
      <c r="A112" s="172"/>
      <c r="B112" s="5" t="s">
        <v>15</v>
      </c>
      <c r="C112" s="5">
        <v>1.1299999999999999E-3</v>
      </c>
      <c r="D112" s="5" t="s">
        <v>24</v>
      </c>
      <c r="E112" s="121">
        <f t="shared" si="9"/>
        <v>0</v>
      </c>
      <c r="F112" s="121">
        <f t="shared" si="10"/>
        <v>0</v>
      </c>
      <c r="G112" s="159"/>
      <c r="I112" s="138" t="s">
        <v>146</v>
      </c>
    </row>
    <row r="113" spans="1:9">
      <c r="A113" s="172"/>
      <c r="B113" s="32" t="s">
        <v>19</v>
      </c>
      <c r="C113" s="5">
        <v>2.7200000000000002E-3</v>
      </c>
      <c r="D113" s="5" t="s">
        <v>24</v>
      </c>
      <c r="E113" s="121">
        <f t="shared" si="9"/>
        <v>0</v>
      </c>
      <c r="F113" s="121">
        <f t="shared" si="10"/>
        <v>0</v>
      </c>
      <c r="G113" s="160"/>
      <c r="I113" s="138" t="s">
        <v>147</v>
      </c>
    </row>
    <row r="114" spans="1:9">
      <c r="A114" s="35"/>
      <c r="B114" s="11"/>
      <c r="C114" s="11"/>
      <c r="D114" s="11"/>
      <c r="E114" s="11"/>
      <c r="F114" s="11"/>
      <c r="I114" s="138"/>
    </row>
    <row r="115" spans="1:9">
      <c r="A115" s="181" t="s">
        <v>32</v>
      </c>
      <c r="B115" s="182"/>
      <c r="C115" s="130">
        <f>D100*E229</f>
        <v>0</v>
      </c>
      <c r="E115" s="9" t="s">
        <v>27</v>
      </c>
      <c r="F115">
        <v>0.113</v>
      </c>
      <c r="G115" t="s">
        <v>24</v>
      </c>
      <c r="I115" s="140"/>
    </row>
    <row r="116" spans="1:9">
      <c r="A116" s="181" t="s">
        <v>5</v>
      </c>
      <c r="B116" s="182"/>
      <c r="C116" s="130">
        <f>C115/F115</f>
        <v>0</v>
      </c>
      <c r="E116" s="9"/>
      <c r="I116" s="138" t="s">
        <v>129</v>
      </c>
    </row>
    <row r="117" spans="1:9">
      <c r="A117" s="181" t="s">
        <v>31</v>
      </c>
      <c r="B117" s="182"/>
      <c r="C117" s="142">
        <f>mobile_weight/(other_weight + image_weight + hdd_weight + mobile_weight + lcd_weight + ds_weight + crt_weight + laptop_weight)</f>
        <v>0</v>
      </c>
      <c r="E117" s="9"/>
      <c r="I117" s="138" t="s">
        <v>130</v>
      </c>
    </row>
    <row r="118" spans="1:9">
      <c r="A118" s="176" t="s">
        <v>108</v>
      </c>
      <c r="B118" s="177"/>
      <c r="C118" s="130">
        <f>SUM(E104:E107)</f>
        <v>0</v>
      </c>
      <c r="D118" s="8"/>
      <c r="E118" s="7"/>
      <c r="F118" s="7"/>
      <c r="I118" s="138" t="s">
        <v>113</v>
      </c>
    </row>
    <row r="119" spans="1:9">
      <c r="A119" s="178" t="s">
        <v>109</v>
      </c>
      <c r="B119" s="179"/>
      <c r="C119" s="130">
        <f>SUM(F104:F107)</f>
        <v>0</v>
      </c>
      <c r="I119" s="138"/>
    </row>
    <row r="120" spans="1:9">
      <c r="A120" s="69"/>
      <c r="B120" s="70" t="s">
        <v>74</v>
      </c>
      <c r="C120" s="128">
        <f>E102+E103</f>
        <v>0</v>
      </c>
      <c r="I120" s="138" t="s">
        <v>114</v>
      </c>
    </row>
    <row r="121" spans="1:9">
      <c r="B121" s="70" t="s">
        <v>73</v>
      </c>
      <c r="C121" s="128">
        <f>F102+F103</f>
        <v>0</v>
      </c>
      <c r="I121" s="10"/>
    </row>
    <row r="122" spans="1:9">
      <c r="A122" s="28"/>
      <c r="B122" s="26"/>
      <c r="C122" s="27"/>
      <c r="D122" s="25"/>
      <c r="E122" s="25"/>
      <c r="F122" s="25"/>
      <c r="G122" s="25"/>
      <c r="I122" s="10"/>
    </row>
    <row r="123" spans="1:9" ht="21">
      <c r="A123" s="185" t="s">
        <v>149</v>
      </c>
      <c r="B123" s="185"/>
      <c r="C123" s="185"/>
      <c r="D123" s="185"/>
      <c r="E123" s="185"/>
      <c r="F123" s="51"/>
      <c r="G123" s="25"/>
      <c r="H123" s="17"/>
      <c r="I123" s="10"/>
    </row>
    <row r="124" spans="1:9" ht="21">
      <c r="A124" s="51"/>
      <c r="B124" s="83" t="s">
        <v>131</v>
      </c>
      <c r="C124" s="83"/>
      <c r="D124" s="82">
        <v>1000</v>
      </c>
      <c r="E124" s="51"/>
      <c r="F124" s="51"/>
      <c r="G124" s="52"/>
      <c r="I124" s="99"/>
    </row>
    <row r="125" spans="1:9">
      <c r="A125" s="34" t="s">
        <v>0</v>
      </c>
      <c r="B125" s="34" t="s">
        <v>3</v>
      </c>
      <c r="C125" s="34" t="s">
        <v>1</v>
      </c>
      <c r="D125" s="34" t="s">
        <v>2</v>
      </c>
      <c r="E125" s="34" t="s">
        <v>22</v>
      </c>
      <c r="F125" s="44" t="s">
        <v>26</v>
      </c>
      <c r="I125" s="10"/>
    </row>
    <row r="126" spans="1:9">
      <c r="A126" s="161" t="s">
        <v>21</v>
      </c>
      <c r="B126" s="32" t="s">
        <v>70</v>
      </c>
      <c r="C126" s="103">
        <v>2.99364E-5</v>
      </c>
      <c r="D126" s="67" t="s">
        <v>72</v>
      </c>
      <c r="E126" s="121">
        <f t="shared" ref="E126:E137" si="11">F126/$E$229</f>
        <v>305.22764266799999</v>
      </c>
      <c r="F126" s="122">
        <f>C126*C139*C199</f>
        <v>138.44881689306345</v>
      </c>
      <c r="I126" s="138" t="s">
        <v>111</v>
      </c>
    </row>
    <row r="127" spans="1:9">
      <c r="A127" s="162"/>
      <c r="B127" s="32" t="s">
        <v>136</v>
      </c>
      <c r="C127" s="5"/>
      <c r="D127" s="67"/>
      <c r="E127" s="121">
        <f t="shared" si="11"/>
        <v>807.43097129999967</v>
      </c>
      <c r="F127" s="121">
        <f>(C177*F136+C178*F135+C179*F134+C180*F133+C181*F132+C182*F137)*1000</f>
        <v>366.24422913390947</v>
      </c>
      <c r="G127" s="158" t="s">
        <v>57</v>
      </c>
      <c r="I127" s="138" t="s">
        <v>112</v>
      </c>
    </row>
    <row r="128" spans="1:9">
      <c r="A128" s="184" t="s">
        <v>79</v>
      </c>
      <c r="B128" s="4" t="s">
        <v>16</v>
      </c>
      <c r="C128" s="5"/>
      <c r="D128" s="5"/>
      <c r="E128" s="121">
        <f t="shared" si="11"/>
        <v>0</v>
      </c>
      <c r="F128" s="121">
        <f t="shared" ref="F128:F135" si="12">$C$140*C128</f>
        <v>0</v>
      </c>
      <c r="G128" s="159"/>
      <c r="I128" s="138" t="s">
        <v>138</v>
      </c>
    </row>
    <row r="129" spans="1:9">
      <c r="A129" s="184"/>
      <c r="B129" s="4" t="s">
        <v>17</v>
      </c>
      <c r="C129" s="5"/>
      <c r="D129" s="5"/>
      <c r="E129" s="121">
        <f t="shared" si="11"/>
        <v>0</v>
      </c>
      <c r="F129" s="121">
        <f t="shared" si="12"/>
        <v>0</v>
      </c>
      <c r="G129" s="159"/>
      <c r="I129" s="138" t="s">
        <v>139</v>
      </c>
    </row>
    <row r="130" spans="1:9">
      <c r="A130" s="184"/>
      <c r="B130" s="4" t="s">
        <v>18</v>
      </c>
      <c r="C130" s="5"/>
      <c r="D130" s="5"/>
      <c r="E130" s="121">
        <f t="shared" si="11"/>
        <v>0</v>
      </c>
      <c r="F130" s="121">
        <f t="shared" si="12"/>
        <v>0</v>
      </c>
      <c r="G130" s="159"/>
      <c r="I130" s="138" t="s">
        <v>140</v>
      </c>
    </row>
    <row r="131" spans="1:9">
      <c r="A131" s="184"/>
      <c r="B131" s="4" t="s">
        <v>14</v>
      </c>
      <c r="C131" s="5"/>
      <c r="D131" s="5"/>
      <c r="E131" s="121">
        <f t="shared" si="11"/>
        <v>0</v>
      </c>
      <c r="F131" s="121">
        <f t="shared" si="12"/>
        <v>0</v>
      </c>
      <c r="G131" s="160"/>
      <c r="I131" s="138" t="s">
        <v>141</v>
      </c>
    </row>
    <row r="132" spans="1:9">
      <c r="A132" s="172" t="s">
        <v>20</v>
      </c>
      <c r="B132" s="33" t="s">
        <v>8</v>
      </c>
      <c r="C132" s="5">
        <f>F139*5.47%*E229</f>
        <v>3.1014352999999995E-2</v>
      </c>
      <c r="D132" s="5" t="s">
        <v>24</v>
      </c>
      <c r="E132" s="121">
        <f t="shared" si="11"/>
        <v>54.699999999999989</v>
      </c>
      <c r="F132" s="121">
        <f t="shared" si="12"/>
        <v>24.811482399999996</v>
      </c>
      <c r="G132" s="163" t="s">
        <v>23</v>
      </c>
      <c r="I132" s="138" t="s">
        <v>142</v>
      </c>
    </row>
    <row r="133" spans="1:9">
      <c r="A133" s="172"/>
      <c r="B133" s="33" t="s">
        <v>9</v>
      </c>
      <c r="C133" s="149">
        <f>F139*0.06%*E229</f>
        <v>3.4019399999999993E-4</v>
      </c>
      <c r="D133" s="5" t="s">
        <v>24</v>
      </c>
      <c r="E133" s="121">
        <f t="shared" si="11"/>
        <v>0.59999999999999987</v>
      </c>
      <c r="F133" s="121">
        <f t="shared" si="12"/>
        <v>0.27215519999999993</v>
      </c>
      <c r="G133" s="163"/>
      <c r="I133" s="138" t="s">
        <v>143</v>
      </c>
    </row>
    <row r="134" spans="1:9">
      <c r="A134" s="172"/>
      <c r="B134" s="4" t="s">
        <v>6</v>
      </c>
      <c r="C134" s="5"/>
      <c r="D134" s="5"/>
      <c r="E134" s="121">
        <f t="shared" si="11"/>
        <v>0</v>
      </c>
      <c r="F134" s="121">
        <f t="shared" si="12"/>
        <v>0</v>
      </c>
      <c r="G134" s="163"/>
      <c r="I134" s="138" t="s">
        <v>144</v>
      </c>
    </row>
    <row r="135" spans="1:9">
      <c r="A135" s="172"/>
      <c r="B135" s="5" t="s">
        <v>7</v>
      </c>
      <c r="C135" s="149">
        <f>F139*0.002%*E229</f>
        <v>1.1339800000000001E-5</v>
      </c>
      <c r="D135" s="5" t="s">
        <v>24</v>
      </c>
      <c r="E135" s="121">
        <f t="shared" si="11"/>
        <v>2.0000000000000004E-2</v>
      </c>
      <c r="F135" s="121">
        <f t="shared" si="12"/>
        <v>9.0718400000000012E-3</v>
      </c>
      <c r="G135" s="163"/>
      <c r="I135" s="138" t="s">
        <v>145</v>
      </c>
    </row>
    <row r="136" spans="1:9">
      <c r="A136" s="172"/>
      <c r="B136" s="5" t="s">
        <v>15</v>
      </c>
      <c r="C136" s="5">
        <f>F139*54.89%*E229</f>
        <v>0.31122081100000004</v>
      </c>
      <c r="D136" s="5" t="s">
        <v>24</v>
      </c>
      <c r="E136" s="121">
        <f t="shared" si="11"/>
        <v>548.90000000000009</v>
      </c>
      <c r="F136" s="121">
        <f>$C$140*C136</f>
        <v>248.97664880000002</v>
      </c>
      <c r="G136" s="163"/>
      <c r="I136" s="138" t="s">
        <v>146</v>
      </c>
    </row>
    <row r="137" spans="1:9">
      <c r="A137" s="172"/>
      <c r="B137" s="32" t="s">
        <v>19</v>
      </c>
      <c r="C137" s="5"/>
      <c r="D137" s="5"/>
      <c r="E137" s="121">
        <f t="shared" si="11"/>
        <v>0</v>
      </c>
      <c r="F137" s="121">
        <f t="shared" ref="F137" si="13">$C$164*C137</f>
        <v>0</v>
      </c>
      <c r="G137" s="158"/>
      <c r="I137" s="138" t="s">
        <v>147</v>
      </c>
    </row>
    <row r="138" spans="1:9">
      <c r="A138" s="21"/>
      <c r="B138" s="11"/>
      <c r="C138" s="123"/>
      <c r="D138" s="11"/>
      <c r="E138" s="11"/>
      <c r="F138" s="11"/>
      <c r="G138" s="53"/>
      <c r="I138" s="138"/>
    </row>
    <row r="139" spans="1:9">
      <c r="A139" s="181" t="s">
        <v>150</v>
      </c>
      <c r="B139" s="182"/>
      <c r="C139" s="131">
        <f>D124*E229</f>
        <v>453.59199999999998</v>
      </c>
      <c r="E139" s="150" t="s">
        <v>151</v>
      </c>
      <c r="F139" s="151">
        <v>1.25</v>
      </c>
      <c r="G139" t="s">
        <v>155</v>
      </c>
      <c r="I139" s="140"/>
    </row>
    <row r="140" spans="1:9">
      <c r="A140" s="181" t="s">
        <v>5</v>
      </c>
      <c r="B140" s="182"/>
      <c r="C140" s="131">
        <f>hdd_weight/F139</f>
        <v>800</v>
      </c>
      <c r="D140" s="9"/>
      <c r="E140" s="153"/>
      <c r="F140" s="52"/>
      <c r="I140" s="138" t="s">
        <v>129</v>
      </c>
    </row>
    <row r="141" spans="1:9">
      <c r="A141" s="181" t="s">
        <v>31</v>
      </c>
      <c r="B141" s="182"/>
      <c r="C141" s="143">
        <f>hdd_weight/(other_weight + image_weight + hdd_weight + mobile_weight + lcd_weight + ds_weight + crt_weight + laptop_weight)</f>
        <v>0.5</v>
      </c>
      <c r="D141" s="9"/>
      <c r="E141" s="24"/>
      <c r="F141" s="43"/>
      <c r="I141" s="138" t="s">
        <v>130</v>
      </c>
    </row>
    <row r="142" spans="1:9">
      <c r="A142" s="176" t="s">
        <v>108</v>
      </c>
      <c r="B142" s="177"/>
      <c r="C142" s="131">
        <f>SUM(E128:E131)</f>
        <v>0</v>
      </c>
      <c r="D142" s="8"/>
      <c r="E142" s="8"/>
      <c r="F142" s="8"/>
      <c r="I142" s="138" t="s">
        <v>113</v>
      </c>
    </row>
    <row r="143" spans="1:9">
      <c r="A143" s="178" t="s">
        <v>109</v>
      </c>
      <c r="B143" s="179"/>
      <c r="C143" s="131">
        <f>SUM(F128:F131)</f>
        <v>0</v>
      </c>
      <c r="D143" s="8"/>
      <c r="E143" s="8"/>
      <c r="F143" s="8"/>
      <c r="I143" s="138"/>
    </row>
    <row r="144" spans="1:9">
      <c r="A144" s="146"/>
      <c r="B144" s="147" t="s">
        <v>74</v>
      </c>
      <c r="C144" s="128">
        <f>E127</f>
        <v>807.43097129999967</v>
      </c>
      <c r="D144" s="8"/>
      <c r="E144" s="8"/>
      <c r="F144" s="8"/>
      <c r="I144" s="138" t="s">
        <v>114</v>
      </c>
    </row>
    <row r="145" spans="1:9">
      <c r="A145" s="9"/>
      <c r="B145" s="147" t="s">
        <v>73</v>
      </c>
      <c r="C145" s="128">
        <f>F127</f>
        <v>366.24422913390947</v>
      </c>
      <c r="D145" s="8"/>
      <c r="E145" s="8"/>
      <c r="F145" s="8"/>
      <c r="I145" s="10"/>
    </row>
    <row r="146" spans="1:9">
      <c r="A146" s="28"/>
      <c r="B146" s="26"/>
      <c r="C146" s="27"/>
      <c r="D146" s="25"/>
      <c r="E146" s="25"/>
      <c r="F146" s="25"/>
      <c r="G146" s="25"/>
      <c r="I146" s="10"/>
    </row>
    <row r="147" spans="1:9" s="11" customFormat="1" ht="21">
      <c r="A147" s="185" t="s">
        <v>64</v>
      </c>
      <c r="B147" s="185"/>
      <c r="C147" s="185"/>
      <c r="D147" s="185"/>
      <c r="E147" s="185"/>
      <c r="F147" s="51"/>
      <c r="G147" s="25"/>
      <c r="H147" s="17"/>
      <c r="I147" s="10" t="s">
        <v>90</v>
      </c>
    </row>
    <row r="148" spans="1:9" s="22" customFormat="1" ht="21">
      <c r="A148" s="51"/>
      <c r="B148" s="83" t="s">
        <v>131</v>
      </c>
      <c r="C148" s="83"/>
      <c r="D148" s="82">
        <v>1000</v>
      </c>
      <c r="E148" s="51"/>
      <c r="F148" s="51"/>
      <c r="G148" s="52"/>
      <c r="I148" s="99"/>
    </row>
    <row r="149" spans="1:9">
      <c r="A149" s="34" t="s">
        <v>0</v>
      </c>
      <c r="B149" s="34" t="s">
        <v>3</v>
      </c>
      <c r="C149" s="34" t="s">
        <v>1</v>
      </c>
      <c r="D149" s="34" t="s">
        <v>2</v>
      </c>
      <c r="E149" s="34" t="s">
        <v>22</v>
      </c>
      <c r="F149" s="44" t="s">
        <v>26</v>
      </c>
      <c r="I149" s="10"/>
    </row>
    <row r="150" spans="1:9">
      <c r="A150" s="161" t="s">
        <v>21</v>
      </c>
      <c r="B150" s="32" t="s">
        <v>70</v>
      </c>
      <c r="C150" s="103">
        <v>2.99364E-5</v>
      </c>
      <c r="D150" s="67" t="s">
        <v>72</v>
      </c>
      <c r="E150" s="121">
        <f t="shared" ref="E150:E151" si="14">F150/$E$229</f>
        <v>305.22764266799999</v>
      </c>
      <c r="F150" s="122">
        <f>C150*C163*C199</f>
        <v>138.44881689306345</v>
      </c>
      <c r="I150" s="138" t="s">
        <v>111</v>
      </c>
    </row>
    <row r="151" spans="1:9">
      <c r="A151" s="162"/>
      <c r="B151" s="32" t="s">
        <v>136</v>
      </c>
      <c r="C151" s="5"/>
      <c r="D151" s="67"/>
      <c r="E151" s="121">
        <f t="shared" si="14"/>
        <v>659.36836195954038</v>
      </c>
      <c r="F151" s="121">
        <f>(C201*F160+C202*F159+C203*F158+C204*F157+C205*F156+C206*F161)*1000</f>
        <v>299.08421403795182</v>
      </c>
      <c r="G151" s="158" t="s">
        <v>57</v>
      </c>
      <c r="I151" s="138" t="s">
        <v>112</v>
      </c>
    </row>
    <row r="152" spans="1:9">
      <c r="A152" s="184" t="s">
        <v>79</v>
      </c>
      <c r="B152" s="4" t="s">
        <v>16</v>
      </c>
      <c r="C152" s="5">
        <v>2.6599999999999999E-2</v>
      </c>
      <c r="D152" s="5" t="s">
        <v>24</v>
      </c>
      <c r="E152" s="121">
        <f t="shared" ref="E152:E161" si="15">F152/$E$229</f>
        <v>1.5287356321839081</v>
      </c>
      <c r="F152" s="121">
        <f t="shared" ref="F152:F161" si="16">$C$164*C152</f>
        <v>0.69342225287356318</v>
      </c>
      <c r="G152" s="159"/>
      <c r="I152" s="138" t="s">
        <v>138</v>
      </c>
    </row>
    <row r="153" spans="1:9">
      <c r="A153" s="184"/>
      <c r="B153" s="4" t="s">
        <v>17</v>
      </c>
      <c r="C153" s="5"/>
      <c r="D153" s="5"/>
      <c r="E153" s="121">
        <f t="shared" si="15"/>
        <v>0</v>
      </c>
      <c r="F153" s="121">
        <f t="shared" si="16"/>
        <v>0</v>
      </c>
      <c r="G153" s="159"/>
      <c r="I153" s="138" t="s">
        <v>139</v>
      </c>
    </row>
    <row r="154" spans="1:9">
      <c r="A154" s="184"/>
      <c r="B154" s="4" t="s">
        <v>18</v>
      </c>
      <c r="C154" s="5">
        <v>1.3027399999999999E-4</v>
      </c>
      <c r="D154" s="5" t="s">
        <v>24</v>
      </c>
      <c r="E154" s="121">
        <f t="shared" si="15"/>
        <v>7.4870114942528739E-3</v>
      </c>
      <c r="F154" s="121">
        <f t="shared" si="16"/>
        <v>3.3960485177011493E-3</v>
      </c>
      <c r="G154" s="159"/>
      <c r="I154" s="138" t="s">
        <v>140</v>
      </c>
    </row>
    <row r="155" spans="1:9">
      <c r="A155" s="184"/>
      <c r="B155" s="4" t="s">
        <v>14</v>
      </c>
      <c r="C155" s="5">
        <v>1.19364E-4</v>
      </c>
      <c r="D155" s="5" t="s">
        <v>24</v>
      </c>
      <c r="E155" s="121">
        <f t="shared" si="15"/>
        <v>6.8599999999999998E-3</v>
      </c>
      <c r="F155" s="121">
        <f t="shared" si="16"/>
        <v>3.11164112E-3</v>
      </c>
      <c r="G155" s="160"/>
      <c r="I155" s="138" t="s">
        <v>141</v>
      </c>
    </row>
    <row r="156" spans="1:9">
      <c r="A156" s="172" t="s">
        <v>20</v>
      </c>
      <c r="B156" s="33" t="s">
        <v>8</v>
      </c>
      <c r="C156" s="5">
        <v>1.0266</v>
      </c>
      <c r="D156" s="5" t="s">
        <v>24</v>
      </c>
      <c r="E156" s="121">
        <f t="shared" si="15"/>
        <v>59</v>
      </c>
      <c r="F156" s="121">
        <f t="shared" si="16"/>
        <v>26.761928000000001</v>
      </c>
      <c r="G156" s="163" t="s">
        <v>23</v>
      </c>
      <c r="I156" s="138" t="s">
        <v>142</v>
      </c>
    </row>
    <row r="157" spans="1:9">
      <c r="A157" s="172"/>
      <c r="B157" s="33" t="s">
        <v>9</v>
      </c>
      <c r="C157" s="5">
        <v>6.1613399999999995E-5</v>
      </c>
      <c r="D157" s="5" t="s">
        <v>24</v>
      </c>
      <c r="E157" s="121">
        <f t="shared" si="15"/>
        <v>3.5409999999999999E-3</v>
      </c>
      <c r="F157" s="121">
        <f t="shared" si="16"/>
        <v>1.606169272E-3</v>
      </c>
      <c r="G157" s="163"/>
      <c r="I157" s="138" t="s">
        <v>143</v>
      </c>
    </row>
    <row r="158" spans="1:9">
      <c r="A158" s="172"/>
      <c r="B158" s="4" t="s">
        <v>6</v>
      </c>
      <c r="C158" s="5">
        <v>3.7514400000000001E-5</v>
      </c>
      <c r="D158" s="5" t="s">
        <v>24</v>
      </c>
      <c r="E158" s="121">
        <f t="shared" si="15"/>
        <v>2.1559999999999999E-3</v>
      </c>
      <c r="F158" s="121">
        <f t="shared" si="16"/>
        <v>9.7794435200000002E-4</v>
      </c>
      <c r="G158" s="163"/>
      <c r="I158" s="138" t="s">
        <v>144</v>
      </c>
    </row>
    <row r="159" spans="1:9">
      <c r="A159" s="172"/>
      <c r="B159" s="5" t="s">
        <v>7</v>
      </c>
      <c r="C159" s="5">
        <v>2.4702799999999999E-4</v>
      </c>
      <c r="D159" s="5" t="s">
        <v>24</v>
      </c>
      <c r="E159" s="121">
        <f t="shared" si="15"/>
        <v>1.4197011494252874E-2</v>
      </c>
      <c r="F159" s="121">
        <f t="shared" si="16"/>
        <v>6.4396508377011497E-3</v>
      </c>
      <c r="G159" s="163"/>
      <c r="I159" s="138" t="s">
        <v>145</v>
      </c>
    </row>
    <row r="160" spans="1:9">
      <c r="A160" s="172"/>
      <c r="B160" s="5" t="s">
        <v>15</v>
      </c>
      <c r="C160" s="5">
        <v>0.35972799999999999</v>
      </c>
      <c r="D160" s="5" t="s">
        <v>24</v>
      </c>
      <c r="E160" s="121">
        <f t="shared" si="15"/>
        <v>20.674022988505747</v>
      </c>
      <c r="F160" s="121">
        <f t="shared" si="16"/>
        <v>9.3775714354022988</v>
      </c>
      <c r="G160" s="163"/>
      <c r="I160" s="138" t="s">
        <v>146</v>
      </c>
    </row>
    <row r="161" spans="1:9">
      <c r="A161" s="172"/>
      <c r="B161" s="32" t="s">
        <v>19</v>
      </c>
      <c r="C161" s="5"/>
      <c r="D161" s="5"/>
      <c r="E161" s="121">
        <f t="shared" si="15"/>
        <v>0</v>
      </c>
      <c r="F161" s="121">
        <f t="shared" si="16"/>
        <v>0</v>
      </c>
      <c r="G161" s="158"/>
      <c r="I161" s="138" t="s">
        <v>147</v>
      </c>
    </row>
    <row r="162" spans="1:9">
      <c r="A162" s="21"/>
      <c r="B162" s="11"/>
      <c r="C162" s="123"/>
      <c r="D162" s="11"/>
      <c r="E162" s="11"/>
      <c r="F162" s="11"/>
      <c r="G162" s="53"/>
      <c r="I162" s="138"/>
    </row>
    <row r="163" spans="1:9">
      <c r="A163" s="181" t="s">
        <v>65</v>
      </c>
      <c r="B163" s="182"/>
      <c r="C163" s="131">
        <f>D148*E229</f>
        <v>453.59199999999998</v>
      </c>
      <c r="E163" s="9" t="s">
        <v>28</v>
      </c>
      <c r="F163" s="24">
        <v>17.399999999999999</v>
      </c>
      <c r="G163" t="s">
        <v>154</v>
      </c>
      <c r="I163" s="140"/>
    </row>
    <row r="164" spans="1:9">
      <c r="A164" s="181" t="s">
        <v>5</v>
      </c>
      <c r="B164" s="182"/>
      <c r="C164" s="131">
        <f>C163/F163</f>
        <v>26.068505747126437</v>
      </c>
      <c r="D164" s="9"/>
      <c r="E164" s="24"/>
      <c r="F164" s="43"/>
      <c r="I164" s="138" t="s">
        <v>129</v>
      </c>
    </row>
    <row r="165" spans="1:9">
      <c r="A165" s="181" t="s">
        <v>31</v>
      </c>
      <c r="B165" s="182"/>
      <c r="C165" s="143">
        <f>image_weight/(other_weight + image_weight + hdd_weight + mobile_weight + lcd_weight + ds_weight + crt_weight + laptop_weight)</f>
        <v>0.5</v>
      </c>
      <c r="D165" s="9"/>
      <c r="E165" s="24"/>
      <c r="F165" s="43"/>
      <c r="I165" s="138" t="s">
        <v>130</v>
      </c>
    </row>
    <row r="166" spans="1:9">
      <c r="A166" s="176" t="s">
        <v>108</v>
      </c>
      <c r="B166" s="177"/>
      <c r="C166" s="131">
        <f>SUM(E152:E155)</f>
        <v>1.5430826436781611</v>
      </c>
      <c r="D166" s="8"/>
      <c r="E166" s="8"/>
      <c r="F166" s="8"/>
      <c r="I166" s="138" t="s">
        <v>113</v>
      </c>
    </row>
    <row r="167" spans="1:9">
      <c r="A167" s="178" t="s">
        <v>109</v>
      </c>
      <c r="B167" s="179"/>
      <c r="C167" s="131">
        <f>SUM(F152:F155)</f>
        <v>0.69992994251126428</v>
      </c>
      <c r="D167" s="8"/>
      <c r="E167" s="8"/>
      <c r="F167" s="8"/>
      <c r="I167" s="138"/>
    </row>
    <row r="168" spans="1:9">
      <c r="A168" s="69"/>
      <c r="B168" s="70" t="s">
        <v>74</v>
      </c>
      <c r="C168" s="128">
        <f>E151</f>
        <v>659.36836195954038</v>
      </c>
      <c r="D168" s="8"/>
      <c r="E168" s="8"/>
      <c r="F168" s="8"/>
      <c r="I168" s="138" t="s">
        <v>114</v>
      </c>
    </row>
    <row r="169" spans="1:9">
      <c r="A169" s="9"/>
      <c r="B169" s="70" t="s">
        <v>73</v>
      </c>
      <c r="C169" s="128">
        <f>F151</f>
        <v>299.08421403795182</v>
      </c>
      <c r="D169" s="8"/>
      <c r="E169" s="8"/>
      <c r="F169" s="8"/>
      <c r="I169" s="10"/>
    </row>
    <row r="170" spans="1:9">
      <c r="A170" s="1"/>
      <c r="C170" s="136"/>
      <c r="D170" s="24"/>
      <c r="E170" s="24"/>
      <c r="F170" s="24"/>
      <c r="I170" s="10"/>
    </row>
    <row r="171" spans="1:9" s="11" customFormat="1" ht="21">
      <c r="A171" s="185" t="s">
        <v>68</v>
      </c>
      <c r="B171" s="185"/>
      <c r="C171" s="185"/>
      <c r="D171" s="185"/>
      <c r="E171" s="185"/>
      <c r="F171" s="51"/>
      <c r="G171" s="25"/>
      <c r="H171" s="17"/>
      <c r="I171" s="10" t="s">
        <v>88</v>
      </c>
    </row>
    <row r="172" spans="1:9" s="22" customFormat="1" ht="21">
      <c r="A172" s="51"/>
      <c r="B172" s="83" t="s">
        <v>131</v>
      </c>
      <c r="C172" s="83"/>
      <c r="D172" s="82">
        <v>0</v>
      </c>
      <c r="E172" s="51"/>
      <c r="F172" s="51"/>
      <c r="G172" s="52"/>
      <c r="I172" s="99"/>
    </row>
    <row r="173" spans="1:9">
      <c r="A173" s="34" t="s">
        <v>0</v>
      </c>
      <c r="B173" s="34" t="s">
        <v>3</v>
      </c>
      <c r="C173" s="34" t="s">
        <v>1</v>
      </c>
      <c r="D173" s="34" t="s">
        <v>2</v>
      </c>
      <c r="E173" s="34" t="s">
        <v>22</v>
      </c>
      <c r="F173" s="44" t="s">
        <v>26</v>
      </c>
      <c r="I173" s="10"/>
    </row>
    <row r="174" spans="1:9">
      <c r="A174" s="161" t="s">
        <v>21</v>
      </c>
      <c r="B174" s="32" t="s">
        <v>70</v>
      </c>
      <c r="C174" s="103">
        <v>2.99364E-5</v>
      </c>
      <c r="D174" s="67" t="s">
        <v>72</v>
      </c>
      <c r="E174" s="121">
        <f t="shared" ref="E174:E185" si="17">F174/$E$229</f>
        <v>0</v>
      </c>
      <c r="F174" s="121">
        <f>C174*C187*C199</f>
        <v>0</v>
      </c>
      <c r="G174" s="163" t="s">
        <v>57</v>
      </c>
      <c r="I174" s="138" t="s">
        <v>111</v>
      </c>
    </row>
    <row r="175" spans="1:9">
      <c r="A175" s="162"/>
      <c r="B175" s="32" t="s">
        <v>136</v>
      </c>
      <c r="C175" s="5"/>
      <c r="D175" s="67"/>
      <c r="E175" s="121">
        <f t="shared" si="17"/>
        <v>0</v>
      </c>
      <c r="F175" s="126">
        <f>(C201*F184+C202*F183+C203*F182+C204*F181+C205*F180+C206*F185)*1000</f>
        <v>0</v>
      </c>
      <c r="G175" s="163"/>
      <c r="I175" s="138" t="s">
        <v>112</v>
      </c>
    </row>
    <row r="176" spans="1:9">
      <c r="A176" s="184" t="s">
        <v>79</v>
      </c>
      <c r="B176" s="4" t="s">
        <v>16</v>
      </c>
      <c r="C176" s="5">
        <v>4.1028599999999998E-2</v>
      </c>
      <c r="D176" s="5" t="s">
        <v>24</v>
      </c>
      <c r="E176" s="121">
        <f t="shared" si="17"/>
        <v>0</v>
      </c>
      <c r="F176" s="121">
        <f t="shared" ref="F176:F185" si="18">$C$188*C176</f>
        <v>0</v>
      </c>
      <c r="G176" s="163"/>
      <c r="I176" s="138" t="s">
        <v>138</v>
      </c>
    </row>
    <row r="177" spans="1:9">
      <c r="A177" s="184"/>
      <c r="B177" s="4" t="s">
        <v>17</v>
      </c>
      <c r="C177" s="5"/>
      <c r="D177" s="5"/>
      <c r="E177" s="121">
        <f t="shared" si="17"/>
        <v>0</v>
      </c>
      <c r="F177" s="121">
        <f t="shared" si="18"/>
        <v>0</v>
      </c>
      <c r="G177" s="163"/>
      <c r="I177" s="138" t="s">
        <v>139</v>
      </c>
    </row>
    <row r="178" spans="1:9">
      <c r="A178" s="184"/>
      <c r="B178" s="4" t="s">
        <v>18</v>
      </c>
      <c r="C178" s="5"/>
      <c r="D178" s="5"/>
      <c r="E178" s="121">
        <f t="shared" si="17"/>
        <v>0</v>
      </c>
      <c r="F178" s="121">
        <f t="shared" si="18"/>
        <v>0</v>
      </c>
      <c r="G178" s="163"/>
      <c r="I178" s="138" t="s">
        <v>140</v>
      </c>
    </row>
    <row r="179" spans="1:9">
      <c r="A179" s="184"/>
      <c r="B179" s="4" t="s">
        <v>14</v>
      </c>
      <c r="C179" s="5"/>
      <c r="D179" s="5"/>
      <c r="E179" s="121">
        <f t="shared" si="17"/>
        <v>0</v>
      </c>
      <c r="F179" s="121">
        <f t="shared" si="18"/>
        <v>0</v>
      </c>
      <c r="G179" s="163"/>
      <c r="I179" s="138" t="s">
        <v>141</v>
      </c>
    </row>
    <row r="180" spans="1:9">
      <c r="A180" s="172" t="s">
        <v>20</v>
      </c>
      <c r="B180" s="33" t="s">
        <v>8</v>
      </c>
      <c r="C180" s="5">
        <f>0.061*17.7+0.259128</f>
        <v>1.3388279999999999</v>
      </c>
      <c r="D180" s="5" t="s">
        <v>24</v>
      </c>
      <c r="E180" s="121">
        <f t="shared" si="17"/>
        <v>0</v>
      </c>
      <c r="F180" s="121">
        <f t="shared" si="18"/>
        <v>0</v>
      </c>
      <c r="G180" s="163" t="s">
        <v>23</v>
      </c>
      <c r="I180" s="138" t="s">
        <v>142</v>
      </c>
    </row>
    <row r="181" spans="1:9">
      <c r="A181" s="172"/>
      <c r="B181" s="33" t="s">
        <v>9</v>
      </c>
      <c r="C181" s="5">
        <v>7.5579000000000003E-5</v>
      </c>
      <c r="D181" s="5" t="s">
        <v>24</v>
      </c>
      <c r="E181" s="121">
        <f t="shared" si="17"/>
        <v>0</v>
      </c>
      <c r="F181" s="121">
        <f t="shared" si="18"/>
        <v>0</v>
      </c>
      <c r="G181" s="163"/>
      <c r="I181" s="138" t="s">
        <v>143</v>
      </c>
    </row>
    <row r="182" spans="1:9">
      <c r="A182" s="172"/>
      <c r="B182" s="4" t="s">
        <v>6</v>
      </c>
      <c r="C182" s="5"/>
      <c r="D182" s="5"/>
      <c r="E182" s="121">
        <f t="shared" si="17"/>
        <v>0</v>
      </c>
      <c r="F182" s="121">
        <f t="shared" si="18"/>
        <v>0</v>
      </c>
      <c r="G182" s="163"/>
      <c r="I182" s="138" t="s">
        <v>144</v>
      </c>
    </row>
    <row r="183" spans="1:9">
      <c r="A183" s="172"/>
      <c r="B183" s="5" t="s">
        <v>7</v>
      </c>
      <c r="C183" s="5">
        <v>2.3753399999999999E-4</v>
      </c>
      <c r="D183" s="5" t="s">
        <v>24</v>
      </c>
      <c r="E183" s="121">
        <f t="shared" si="17"/>
        <v>0</v>
      </c>
      <c r="F183" s="121">
        <f t="shared" si="18"/>
        <v>0</v>
      </c>
      <c r="G183" s="163"/>
      <c r="I183" s="138" t="s">
        <v>145</v>
      </c>
    </row>
    <row r="184" spans="1:9">
      <c r="A184" s="172"/>
      <c r="B184" s="5" t="s">
        <v>15</v>
      </c>
      <c r="C184" s="5">
        <f>0.017*17.7+0.0798978</f>
        <v>0.38079780000000002</v>
      </c>
      <c r="D184" s="5" t="s">
        <v>24</v>
      </c>
      <c r="E184" s="121">
        <f t="shared" si="17"/>
        <v>0</v>
      </c>
      <c r="F184" s="121">
        <f t="shared" si="18"/>
        <v>0</v>
      </c>
      <c r="G184" s="163"/>
      <c r="I184" s="138" t="s">
        <v>146</v>
      </c>
    </row>
    <row r="185" spans="1:9">
      <c r="A185" s="172"/>
      <c r="B185" s="32" t="s">
        <v>19</v>
      </c>
      <c r="C185" s="5"/>
      <c r="D185" s="5"/>
      <c r="E185" s="121">
        <f t="shared" si="17"/>
        <v>0</v>
      </c>
      <c r="F185" s="121">
        <f t="shared" si="18"/>
        <v>0</v>
      </c>
      <c r="G185" s="163"/>
      <c r="I185" s="138" t="s">
        <v>147</v>
      </c>
    </row>
    <row r="186" spans="1:9">
      <c r="A186" s="21"/>
      <c r="B186" s="11"/>
      <c r="C186" s="54"/>
      <c r="D186" s="11"/>
      <c r="E186" s="123"/>
      <c r="F186" s="123"/>
      <c r="G186" s="36"/>
      <c r="I186" s="138"/>
    </row>
    <row r="187" spans="1:9">
      <c r="A187" s="181" t="s">
        <v>80</v>
      </c>
      <c r="B187" s="182"/>
      <c r="C187" s="131">
        <f>D172*E229</f>
        <v>0</v>
      </c>
      <c r="E187" s="9" t="s">
        <v>28</v>
      </c>
      <c r="F187" s="11">
        <v>17.7</v>
      </c>
      <c r="G187" t="s">
        <v>154</v>
      </c>
      <c r="I187" s="140"/>
    </row>
    <row r="188" spans="1:9">
      <c r="A188" s="181" t="s">
        <v>5</v>
      </c>
      <c r="B188" s="182"/>
      <c r="C188" s="131">
        <f>C187/F187</f>
        <v>0</v>
      </c>
      <c r="D188" s="8"/>
      <c r="E188" s="8"/>
      <c r="F188" s="8"/>
      <c r="I188" s="138" t="s">
        <v>129</v>
      </c>
    </row>
    <row r="189" spans="1:9">
      <c r="A189" s="181" t="s">
        <v>31</v>
      </c>
      <c r="B189" s="182"/>
      <c r="C189" s="143">
        <f>other_weight/(other_weight + image_weight + hdd_weight + mobile_weight + lcd_weight + ds_weight + crt_weight + laptop_weight)</f>
        <v>0</v>
      </c>
      <c r="D189" s="8"/>
      <c r="E189" s="8"/>
      <c r="F189" s="8"/>
      <c r="I189" s="138" t="s">
        <v>130</v>
      </c>
    </row>
    <row r="190" spans="1:9">
      <c r="A190" s="176" t="s">
        <v>108</v>
      </c>
      <c r="B190" s="177"/>
      <c r="C190" s="131">
        <f>SUM(E176:E179)</f>
        <v>0</v>
      </c>
      <c r="D190" s="8"/>
      <c r="E190" s="8"/>
      <c r="F190" s="8"/>
      <c r="I190" s="138" t="s">
        <v>113</v>
      </c>
    </row>
    <row r="191" spans="1:9">
      <c r="A191" s="178" t="s">
        <v>109</v>
      </c>
      <c r="B191" s="179"/>
      <c r="C191" s="131">
        <f>SUM(F176:F179)</f>
        <v>0</v>
      </c>
      <c r="D191" s="24"/>
      <c r="E191" s="24"/>
      <c r="F191" s="24"/>
      <c r="I191" s="138"/>
    </row>
    <row r="192" spans="1:9">
      <c r="A192" s="29"/>
      <c r="B192" s="70" t="s">
        <v>74</v>
      </c>
      <c r="C192" s="128">
        <f>E174+E175</f>
        <v>0</v>
      </c>
      <c r="D192" s="17"/>
      <c r="E192" s="17"/>
      <c r="F192" s="17"/>
      <c r="I192" s="138" t="s">
        <v>114</v>
      </c>
    </row>
    <row r="193" spans="1:9">
      <c r="A193" s="29"/>
      <c r="B193" s="70" t="s">
        <v>73</v>
      </c>
      <c r="C193" s="128">
        <f>F174+F175</f>
        <v>0</v>
      </c>
      <c r="D193" s="17"/>
      <c r="E193" s="17"/>
      <c r="F193" s="17"/>
      <c r="I193" s="10"/>
    </row>
    <row r="194" spans="1:9">
      <c r="A194" s="29"/>
      <c r="B194" s="70"/>
      <c r="C194" s="17"/>
      <c r="D194" s="17"/>
      <c r="E194" s="17"/>
      <c r="F194" s="17"/>
      <c r="I194" s="10"/>
    </row>
    <row r="195" spans="1:9">
      <c r="A195" s="29"/>
      <c r="B195" s="70"/>
      <c r="C195" s="17"/>
      <c r="D195" s="17"/>
      <c r="E195" s="17"/>
      <c r="F195" s="17"/>
      <c r="I195" s="10"/>
    </row>
    <row r="196" spans="1:9">
      <c r="A196" s="29"/>
      <c r="D196" s="17"/>
      <c r="E196" s="17"/>
      <c r="F196" s="17"/>
      <c r="I196" s="10"/>
    </row>
    <row r="197" spans="1:9" ht="21">
      <c r="A197" s="62" t="s">
        <v>125</v>
      </c>
      <c r="B197" s="61"/>
      <c r="C197" s="61"/>
      <c r="D197" s="61"/>
      <c r="E197" s="61"/>
      <c r="F197" s="61"/>
      <c r="I197" s="10"/>
    </row>
    <row r="198" spans="1:9">
      <c r="A198" s="63"/>
      <c r="B198" s="64" t="s">
        <v>126</v>
      </c>
      <c r="C198" s="65" t="s">
        <v>76</v>
      </c>
      <c r="D198" s="65" t="s">
        <v>2</v>
      </c>
      <c r="E198" s="17"/>
      <c r="F198" s="17"/>
      <c r="I198" s="10"/>
    </row>
    <row r="199" spans="1:9">
      <c r="A199" s="29"/>
      <c r="B199" t="s">
        <v>66</v>
      </c>
      <c r="C199" s="104">
        <v>10195.870000000001</v>
      </c>
      <c r="D199" s="105" t="s">
        <v>77</v>
      </c>
      <c r="E199" s="17"/>
      <c r="F199" s="17"/>
      <c r="I199" s="10" t="s">
        <v>137</v>
      </c>
    </row>
    <row r="200" spans="1:9">
      <c r="A200" s="156" t="s">
        <v>127</v>
      </c>
      <c r="B200" s="157"/>
      <c r="C200" s="65" t="s">
        <v>75</v>
      </c>
      <c r="D200" s="65" t="s">
        <v>2</v>
      </c>
      <c r="E200" s="17"/>
      <c r="F200" s="17"/>
      <c r="I200" s="10" t="s">
        <v>81</v>
      </c>
    </row>
    <row r="201" spans="1:9">
      <c r="A201" s="29"/>
      <c r="B201" t="s">
        <v>15</v>
      </c>
      <c r="C201" s="17">
        <v>9.8700000000000003E-3</v>
      </c>
      <c r="D201" s="17" t="s">
        <v>69</v>
      </c>
      <c r="E201" s="17"/>
      <c r="F201" s="17"/>
      <c r="I201" s="10"/>
    </row>
    <row r="202" spans="1:9">
      <c r="A202" s="29"/>
      <c r="B202" t="s">
        <v>7</v>
      </c>
      <c r="C202" s="17">
        <v>6.43391</v>
      </c>
      <c r="D202" s="17" t="s">
        <v>69</v>
      </c>
      <c r="E202" s="17"/>
      <c r="F202" s="17"/>
      <c r="I202" s="10"/>
    </row>
    <row r="203" spans="1:9">
      <c r="A203" s="29"/>
      <c r="B203" t="s">
        <v>6</v>
      </c>
      <c r="C203" s="17">
        <v>37.017290000000003</v>
      </c>
      <c r="D203" s="17" t="s">
        <v>69</v>
      </c>
      <c r="E203" s="17"/>
      <c r="F203" s="17"/>
      <c r="I203" s="10"/>
    </row>
    <row r="204" spans="1:9">
      <c r="A204" s="29"/>
      <c r="B204" t="s">
        <v>9</v>
      </c>
      <c r="C204" s="17">
        <v>21.599599999999999</v>
      </c>
      <c r="D204" s="17" t="s">
        <v>69</v>
      </c>
      <c r="E204" s="17"/>
      <c r="F204" s="17"/>
      <c r="I204" s="10" t="s">
        <v>133</v>
      </c>
    </row>
    <row r="205" spans="1:9">
      <c r="A205" s="29"/>
      <c r="B205" t="s">
        <v>8</v>
      </c>
      <c r="C205" s="17">
        <v>3.5200000000000001E-3</v>
      </c>
      <c r="D205" s="17" t="s">
        <v>69</v>
      </c>
      <c r="E205" s="17"/>
      <c r="F205" s="17"/>
      <c r="I205" s="10"/>
    </row>
    <row r="206" spans="1:9">
      <c r="A206" s="29"/>
      <c r="B206" t="s">
        <v>19</v>
      </c>
      <c r="C206" s="17">
        <v>8.5999999999999998E-4</v>
      </c>
      <c r="D206" s="17" t="s">
        <v>69</v>
      </c>
      <c r="E206" s="17"/>
      <c r="F206" s="17"/>
      <c r="I206" s="10"/>
    </row>
    <row r="207" spans="1:9" ht="22" thickBot="1">
      <c r="A207" s="18"/>
      <c r="B207" s="18"/>
      <c r="C207" s="18"/>
      <c r="D207" s="18"/>
      <c r="E207" s="18"/>
      <c r="F207" s="18"/>
      <c r="G207" s="18"/>
      <c r="H207" s="17"/>
      <c r="I207" s="10"/>
    </row>
    <row r="208" spans="1:9" ht="21">
      <c r="A208" s="106" t="s">
        <v>35</v>
      </c>
      <c r="B208" s="107"/>
      <c r="C208" s="108"/>
      <c r="D208" s="109"/>
      <c r="E208" s="109"/>
      <c r="F208" s="110"/>
      <c r="G208" s="38"/>
      <c r="H208" s="17"/>
      <c r="I208" s="10"/>
    </row>
    <row r="209" spans="1:9">
      <c r="A209" s="111" t="s">
        <v>36</v>
      </c>
      <c r="B209" s="112"/>
      <c r="C209" s="74"/>
      <c r="D209" s="74"/>
      <c r="E209" s="74"/>
      <c r="F209" s="113"/>
      <c r="G209" s="17"/>
      <c r="H209" s="17"/>
      <c r="I209" s="10"/>
    </row>
    <row r="210" spans="1:9" ht="21">
      <c r="A210" s="85"/>
      <c r="B210" s="86"/>
      <c r="C210" s="76" t="s">
        <v>33</v>
      </c>
      <c r="D210" s="75" t="s">
        <v>24</v>
      </c>
      <c r="E210" s="25"/>
      <c r="F210" s="87"/>
      <c r="G210" s="17"/>
      <c r="H210" s="17"/>
      <c r="I210" s="10"/>
    </row>
    <row r="211" spans="1:9">
      <c r="A211" s="186" t="s">
        <v>110</v>
      </c>
      <c r="B211" s="187"/>
      <c r="C211" s="126">
        <f>C190+C166+C142+C118+C94+C70+C46+C22</f>
        <v>1.5430826436781611</v>
      </c>
      <c r="D211" s="126">
        <f>C191+C167+C143+C119+C95+C71+C47+C23</f>
        <v>0.69992994251126428</v>
      </c>
      <c r="E211" s="155"/>
      <c r="F211" s="87"/>
      <c r="G211" s="17"/>
      <c r="H211" s="17"/>
      <c r="I211" s="10"/>
    </row>
    <row r="212" spans="1:9">
      <c r="A212" s="186" t="s">
        <v>34</v>
      </c>
      <c r="B212" s="188"/>
      <c r="C212" s="132">
        <f>C192+C168+C144+C120+C96+C72+C48+C24</f>
        <v>1466.7993332595402</v>
      </c>
      <c r="D212" s="125">
        <f>C193+C169+C145+C121+C97+C73+C49+C25</f>
        <v>665.3284431718613</v>
      </c>
      <c r="E212" s="155"/>
      <c r="F212" s="87"/>
      <c r="G212" s="17"/>
      <c r="H212" s="17"/>
      <c r="I212" s="10"/>
    </row>
    <row r="213" spans="1:9">
      <c r="A213" s="192" t="s">
        <v>37</v>
      </c>
      <c r="B213" s="193"/>
      <c r="C213" s="133"/>
      <c r="D213" s="133"/>
      <c r="E213" s="74"/>
      <c r="F213" s="113"/>
      <c r="G213" s="11"/>
      <c r="I213" s="10"/>
    </row>
    <row r="214" spans="1:9">
      <c r="A214" s="186" t="s">
        <v>78</v>
      </c>
      <c r="B214" s="194"/>
      <c r="C214" s="124">
        <f>SUM(C215:C220)</f>
        <v>683.91391700000008</v>
      </c>
      <c r="D214" s="124">
        <f>SUM(D215:D220)</f>
        <v>310.21788143986402</v>
      </c>
      <c r="E214" s="25"/>
      <c r="F214" s="87"/>
      <c r="G214" s="11"/>
      <c r="I214" s="10"/>
    </row>
    <row r="215" spans="1:9">
      <c r="A215" s="88"/>
      <c r="B215" s="71" t="s">
        <v>8</v>
      </c>
      <c r="C215" s="125">
        <f>E180+E156+E132+E108+E84+E60+E36+E12</f>
        <v>113.69999999999999</v>
      </c>
      <c r="D215" s="125">
        <f>F180+F156+F132+F108+F84+F60+F36+F12</f>
        <v>51.5734104</v>
      </c>
      <c r="E215" s="25"/>
      <c r="F215" s="87"/>
      <c r="G215" s="11"/>
      <c r="I215" s="10"/>
    </row>
    <row r="216" spans="1:9">
      <c r="A216" s="89"/>
      <c r="B216" s="58" t="s">
        <v>9</v>
      </c>
      <c r="C216" s="132">
        <f>E181+E157+E133+E109+E85+E61+E37+E13</f>
        <v>0.60354099999999988</v>
      </c>
      <c r="D216" s="125">
        <f>F181+F157+F133+F109+F85+F61+F37+F13</f>
        <v>0.27376136927199995</v>
      </c>
      <c r="E216" s="73"/>
      <c r="F216" s="90"/>
      <c r="G216" s="11"/>
      <c r="I216" s="10"/>
    </row>
    <row r="217" spans="1:9" ht="21">
      <c r="A217" s="91"/>
      <c r="B217" s="58" t="s">
        <v>6</v>
      </c>
      <c r="C217" s="132">
        <f>E182+E158+E134+E110+E86+E62+E38+E14</f>
        <v>2.1559999999999999E-3</v>
      </c>
      <c r="D217" s="125">
        <f>F14+F38+F62+F86+F110+F158+F182+F134</f>
        <v>9.7794435200000002E-4</v>
      </c>
      <c r="E217" s="114"/>
      <c r="F217" s="92"/>
      <c r="G217" s="11"/>
      <c r="I217" s="10"/>
    </row>
    <row r="218" spans="1:9">
      <c r="A218" s="93"/>
      <c r="B218" s="58" t="s">
        <v>7</v>
      </c>
      <c r="C218" s="132">
        <f>E183+E159+E135+E111+E87+E63+E39+E15</f>
        <v>3.4197011494252874E-2</v>
      </c>
      <c r="D218" s="125">
        <f>F183+F159+F135+F111+F87+F63+F39+F15</f>
        <v>1.5511490837701151E-2</v>
      </c>
      <c r="E218" s="25"/>
      <c r="F218" s="87"/>
      <c r="G218" s="11"/>
      <c r="I218" s="10"/>
    </row>
    <row r="219" spans="1:9">
      <c r="A219" s="115"/>
      <c r="B219" s="58" t="s">
        <v>15</v>
      </c>
      <c r="C219" s="132">
        <f>E184+E160+E136+E112+E88+E64+E40+E16</f>
        <v>569.57402298850582</v>
      </c>
      <c r="D219" s="125">
        <f>F16+F40+F64+F88+F112+F160+F184+F136</f>
        <v>258.35422023540229</v>
      </c>
      <c r="E219" s="25"/>
      <c r="F219" s="87"/>
      <c r="G219" s="11"/>
      <c r="I219" s="10"/>
    </row>
    <row r="220" spans="1:9" ht="17" thickBot="1">
      <c r="A220" s="116"/>
      <c r="B220" s="94" t="s">
        <v>19</v>
      </c>
      <c r="C220" s="134">
        <f>E185+E161+E137+E113+E89+E65+E41+E17</f>
        <v>0</v>
      </c>
      <c r="D220" s="135">
        <f>F185+F161+F137+F113+F89+F65+F41+F17</f>
        <v>0</v>
      </c>
      <c r="E220" s="117"/>
      <c r="F220" s="95"/>
      <c r="G220" s="11"/>
      <c r="I220" s="10"/>
    </row>
    <row r="221" spans="1:9">
      <c r="A221" s="1"/>
      <c r="B221" s="1"/>
      <c r="E221" s="14"/>
      <c r="F221" s="14"/>
      <c r="I221" s="10"/>
    </row>
    <row r="222" spans="1:9">
      <c r="B222" s="1"/>
      <c r="E222" s="14"/>
      <c r="F222" s="14"/>
      <c r="I222" s="10"/>
    </row>
    <row r="223" spans="1:9">
      <c r="B223" s="1"/>
      <c r="E223" s="15"/>
      <c r="F223" s="15"/>
      <c r="I223" s="10"/>
    </row>
    <row r="224" spans="1:9">
      <c r="B224" s="1"/>
      <c r="E224" s="14"/>
      <c r="F224" s="14"/>
      <c r="I224" s="10"/>
    </row>
    <row r="225" spans="2:9">
      <c r="I225" s="10"/>
    </row>
    <row r="226" spans="2:9">
      <c r="I226" s="10"/>
    </row>
    <row r="227" spans="2:9">
      <c r="B227" s="183" t="s">
        <v>10</v>
      </c>
      <c r="C227" s="183"/>
      <c r="D227" s="183"/>
      <c r="E227" s="183"/>
      <c r="F227" s="183"/>
      <c r="I227" s="10"/>
    </row>
    <row r="228" spans="2:9">
      <c r="B228" s="3" t="s">
        <v>1</v>
      </c>
      <c r="C228" s="3" t="s">
        <v>2</v>
      </c>
      <c r="D228" s="3"/>
      <c r="E228" s="3" t="s">
        <v>1</v>
      </c>
      <c r="F228" s="3" t="s">
        <v>2</v>
      </c>
      <c r="I228" s="10"/>
    </row>
    <row r="229" spans="2:9">
      <c r="B229" s="5">
        <v>1</v>
      </c>
      <c r="C229" s="5" t="s">
        <v>12</v>
      </c>
      <c r="D229" s="5" t="s">
        <v>11</v>
      </c>
      <c r="E229" s="5">
        <v>0.453592</v>
      </c>
      <c r="F229" s="5" t="s">
        <v>29</v>
      </c>
      <c r="I229" s="10"/>
    </row>
    <row r="230" spans="2:9">
      <c r="B230" s="5">
        <v>2000</v>
      </c>
      <c r="C230" s="5" t="s">
        <v>13</v>
      </c>
      <c r="D230" s="5" t="s">
        <v>11</v>
      </c>
      <c r="E230" s="5">
        <v>1</v>
      </c>
      <c r="F230" s="5" t="s">
        <v>40</v>
      </c>
      <c r="I230" s="10"/>
    </row>
    <row r="231" spans="2:9">
      <c r="B231" s="5">
        <v>2204.6226200000001</v>
      </c>
      <c r="C231" s="5" t="s">
        <v>13</v>
      </c>
      <c r="D231" s="5" t="s">
        <v>11</v>
      </c>
      <c r="E231" s="5">
        <v>1</v>
      </c>
      <c r="F231" s="5" t="s">
        <v>41</v>
      </c>
      <c r="I231" s="10"/>
    </row>
    <row r="232" spans="2:9">
      <c r="B232" s="5">
        <v>1</v>
      </c>
      <c r="C232" s="5" t="s">
        <v>39</v>
      </c>
      <c r="D232" s="5" t="s">
        <v>11</v>
      </c>
      <c r="E232" s="5">
        <v>1.60934</v>
      </c>
      <c r="F232" s="5" t="s">
        <v>42</v>
      </c>
      <c r="G232" s="11"/>
      <c r="H232" s="17"/>
      <c r="I232" s="10"/>
    </row>
    <row r="233" spans="2:9">
      <c r="B233" s="189" t="s">
        <v>38</v>
      </c>
      <c r="C233" s="190"/>
      <c r="D233" s="190"/>
      <c r="E233" s="190"/>
      <c r="F233" s="191"/>
      <c r="I233" s="10"/>
    </row>
    <row r="234" spans="2:9">
      <c r="B234" s="5">
        <v>4.8000000000000001E-2</v>
      </c>
      <c r="C234" s="5" t="s">
        <v>59</v>
      </c>
      <c r="D234" s="32" t="s">
        <v>11</v>
      </c>
      <c r="E234" s="5">
        <v>2.99364E-5</v>
      </c>
      <c r="F234" s="5" t="s">
        <v>71</v>
      </c>
      <c r="I234" s="10" t="s">
        <v>89</v>
      </c>
    </row>
  </sheetData>
  <mergeCells count="94">
    <mergeCell ref="A140:B140"/>
    <mergeCell ref="A141:B141"/>
    <mergeCell ref="A142:B142"/>
    <mergeCell ref="A143:B143"/>
    <mergeCell ref="G127:G131"/>
    <mergeCell ref="A128:A131"/>
    <mergeCell ref="A132:A137"/>
    <mergeCell ref="G132:G137"/>
    <mergeCell ref="A139:B139"/>
    <mergeCell ref="G151:G155"/>
    <mergeCell ref="G174:G179"/>
    <mergeCell ref="A174:A175"/>
    <mergeCell ref="A150:A151"/>
    <mergeCell ref="A102:A103"/>
    <mergeCell ref="G103:G107"/>
    <mergeCell ref="A167:B167"/>
    <mergeCell ref="A156:A161"/>
    <mergeCell ref="G156:G161"/>
    <mergeCell ref="A171:E171"/>
    <mergeCell ref="A104:A107"/>
    <mergeCell ref="A108:A113"/>
    <mergeCell ref="G108:G113"/>
    <mergeCell ref="A115:B115"/>
    <mergeCell ref="A123:E123"/>
    <mergeCell ref="A126:A127"/>
    <mergeCell ref="A99:E99"/>
    <mergeCell ref="G30:G35"/>
    <mergeCell ref="G55:G59"/>
    <mergeCell ref="G78:G83"/>
    <mergeCell ref="A78:A79"/>
    <mergeCell ref="A54:A55"/>
    <mergeCell ref="A30:A31"/>
    <mergeCell ref="A44:B44"/>
    <mergeCell ref="A45:B45"/>
    <mergeCell ref="A60:A65"/>
    <mergeCell ref="A91:B91"/>
    <mergeCell ref="A92:B92"/>
    <mergeCell ref="A93:B93"/>
    <mergeCell ref="A94:B94"/>
    <mergeCell ref="A95:B95"/>
    <mergeCell ref="A84:A89"/>
    <mergeCell ref="B233:F233"/>
    <mergeCell ref="A213:B213"/>
    <mergeCell ref="A214:B214"/>
    <mergeCell ref="A32:A35"/>
    <mergeCell ref="A8:A11"/>
    <mergeCell ref="A19:B19"/>
    <mergeCell ref="A20:B20"/>
    <mergeCell ref="A21:B21"/>
    <mergeCell ref="A22:B22"/>
    <mergeCell ref="A23:B23"/>
    <mergeCell ref="A67:B67"/>
    <mergeCell ref="A68:B68"/>
    <mergeCell ref="A69:B69"/>
    <mergeCell ref="A70:B70"/>
    <mergeCell ref="A71:B71"/>
    <mergeCell ref="A43:B43"/>
    <mergeCell ref="B227:F227"/>
    <mergeCell ref="A176:A179"/>
    <mergeCell ref="A147:E147"/>
    <mergeCell ref="A152:A155"/>
    <mergeCell ref="A80:A83"/>
    <mergeCell ref="A116:B116"/>
    <mergeCell ref="A191:B191"/>
    <mergeCell ref="A211:B211"/>
    <mergeCell ref="A212:B212"/>
    <mergeCell ref="A117:B117"/>
    <mergeCell ref="A118:B118"/>
    <mergeCell ref="A119:B119"/>
    <mergeCell ref="A163:B163"/>
    <mergeCell ref="A164:B164"/>
    <mergeCell ref="A165:B165"/>
    <mergeCell ref="A166:B166"/>
    <mergeCell ref="G180:G185"/>
    <mergeCell ref="A189:B189"/>
    <mergeCell ref="A190:B190"/>
    <mergeCell ref="A187:B187"/>
    <mergeCell ref="A188:B188"/>
    <mergeCell ref="A200:B200"/>
    <mergeCell ref="G84:G89"/>
    <mergeCell ref="A6:A7"/>
    <mergeCell ref="G6:G11"/>
    <mergeCell ref="A12:A17"/>
    <mergeCell ref="G12:G17"/>
    <mergeCell ref="A27:E27"/>
    <mergeCell ref="A36:A41"/>
    <mergeCell ref="G36:G41"/>
    <mergeCell ref="A51:E51"/>
    <mergeCell ref="A56:A59"/>
    <mergeCell ref="A46:B46"/>
    <mergeCell ref="A47:B47"/>
    <mergeCell ref="G60:G65"/>
    <mergeCell ref="A75:E75"/>
    <mergeCell ref="A180:A185"/>
  </mergeCells>
  <pageMargins left="0.75" right="0.75" top="1" bottom="1" header="0.5" footer="0.5"/>
  <pageSetup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7"/>
  <sheetViews>
    <sheetView tabSelected="1" topLeftCell="A168" workbookViewId="0">
      <selection activeCell="D219" sqref="D219"/>
    </sheetView>
  </sheetViews>
  <sheetFormatPr baseColWidth="10" defaultColWidth="11.1640625" defaultRowHeight="16"/>
  <cols>
    <col min="2" max="2" width="26.6640625" customWidth="1"/>
    <col min="3" max="3" width="16.83203125" customWidth="1"/>
    <col min="4" max="5" width="14.1640625" customWidth="1"/>
    <col min="6" max="6" width="15" customWidth="1"/>
    <col min="7" max="7" width="14.1640625" customWidth="1"/>
    <col min="8" max="8" width="17.1640625" style="22" customWidth="1"/>
    <col min="9" max="9" width="41.33203125" customWidth="1"/>
    <col min="10" max="10" width="14.83203125" customWidth="1"/>
    <col min="11" max="11" width="21.6640625" customWidth="1"/>
    <col min="12" max="12" width="9.1640625" customWidth="1"/>
    <col min="13" max="13" width="11.6640625" customWidth="1"/>
  </cols>
  <sheetData>
    <row r="1" spans="1:13" ht="21">
      <c r="A1" s="6" t="s">
        <v>124</v>
      </c>
      <c r="I1" s="98" t="s">
        <v>67</v>
      </c>
    </row>
    <row r="2" spans="1:13" ht="21">
      <c r="A2" s="6"/>
      <c r="I2" s="10"/>
    </row>
    <row r="3" spans="1:13">
      <c r="A3" s="24"/>
      <c r="C3" s="24"/>
      <c r="D3" s="24"/>
      <c r="I3" s="10"/>
    </row>
    <row r="4" spans="1:13" ht="21">
      <c r="A4" s="84" t="s">
        <v>25</v>
      </c>
      <c r="B4" s="78"/>
      <c r="C4" s="78"/>
      <c r="D4" s="78"/>
      <c r="E4" s="78"/>
      <c r="F4" s="78"/>
      <c r="I4" s="99"/>
    </row>
    <row r="5" spans="1:13" s="17" customFormat="1" ht="21">
      <c r="A5" s="18"/>
      <c r="B5" s="77" t="s">
        <v>115</v>
      </c>
      <c r="C5" s="77"/>
      <c r="D5" s="96">
        <v>1</v>
      </c>
      <c r="F5" s="18"/>
      <c r="I5" s="10"/>
    </row>
    <row r="6" spans="1:13">
      <c r="A6" s="3" t="s">
        <v>0</v>
      </c>
      <c r="B6" s="3" t="s">
        <v>3</v>
      </c>
      <c r="C6" s="3" t="s">
        <v>1</v>
      </c>
      <c r="D6" s="3" t="s">
        <v>2</v>
      </c>
      <c r="E6" s="137" t="s">
        <v>22</v>
      </c>
      <c r="F6" s="137" t="s">
        <v>26</v>
      </c>
      <c r="I6" s="10"/>
    </row>
    <row r="7" spans="1:13" ht="15" customHeight="1">
      <c r="A7" s="161" t="s">
        <v>21</v>
      </c>
      <c r="B7" s="32" t="s">
        <v>70</v>
      </c>
      <c r="C7" s="103">
        <v>2.99364E-5</v>
      </c>
      <c r="D7" s="67" t="s">
        <v>72</v>
      </c>
      <c r="E7" s="121">
        <f t="shared" ref="E7:E18" si="0">F7/$E$226</f>
        <v>2.542935637406242</v>
      </c>
      <c r="F7" s="121">
        <f>C7*laptop_kg*C199</f>
        <v>1.1534552616423721</v>
      </c>
      <c r="G7" s="163" t="s">
        <v>57</v>
      </c>
      <c r="I7" s="138" t="s">
        <v>111</v>
      </c>
      <c r="J7" s="138"/>
      <c r="M7" s="11"/>
    </row>
    <row r="8" spans="1:13">
      <c r="A8" s="162"/>
      <c r="B8" s="32" t="s">
        <v>136</v>
      </c>
      <c r="C8" s="5"/>
      <c r="D8" s="67"/>
      <c r="E8" s="121">
        <f t="shared" si="0"/>
        <v>33.81103987712391</v>
      </c>
      <c r="F8" s="121">
        <f>(C201*F17+C202*F16+C203*F15+C204*F14+C205*F13+C206*F18)*1000</f>
        <v>15.336417199944389</v>
      </c>
      <c r="G8" s="163"/>
      <c r="I8" s="138" t="s">
        <v>112</v>
      </c>
      <c r="J8" s="138"/>
      <c r="M8" s="7"/>
    </row>
    <row r="9" spans="1:13">
      <c r="A9" s="173" t="s">
        <v>79</v>
      </c>
      <c r="B9" s="4" t="s">
        <v>16</v>
      </c>
      <c r="C9" s="5">
        <v>6.1000000000000004E-3</v>
      </c>
      <c r="D9" s="5" t="s">
        <v>24</v>
      </c>
      <c r="E9" s="121">
        <f t="shared" si="0"/>
        <v>1.3448208963121044E-2</v>
      </c>
      <c r="F9" s="121">
        <f t="shared" ref="F9:F18" si="1">laptop_count*C9</f>
        <v>6.1000000000000004E-3</v>
      </c>
      <c r="G9" s="163"/>
      <c r="I9" s="138" t="s">
        <v>138</v>
      </c>
      <c r="J9" s="138"/>
    </row>
    <row r="10" spans="1:13">
      <c r="A10" s="174"/>
      <c r="B10" s="4" t="s">
        <v>17</v>
      </c>
      <c r="C10" s="5">
        <f>0.004/1000</f>
        <v>3.9999999999999998E-6</v>
      </c>
      <c r="D10" s="5" t="s">
        <v>24</v>
      </c>
      <c r="E10" s="121">
        <f t="shared" si="0"/>
        <v>8.8184976807351098E-6</v>
      </c>
      <c r="F10" s="121">
        <f t="shared" si="1"/>
        <v>3.9999999999999998E-6</v>
      </c>
      <c r="G10" s="163"/>
      <c r="I10" s="138" t="s">
        <v>139</v>
      </c>
      <c r="J10" s="138"/>
    </row>
    <row r="11" spans="1:13" ht="15" customHeight="1">
      <c r="A11" s="174"/>
      <c r="B11" s="4" t="s">
        <v>18</v>
      </c>
      <c r="C11" s="5">
        <f>0.00076/1000</f>
        <v>7.6000000000000003E-7</v>
      </c>
      <c r="D11" s="5" t="s">
        <v>24</v>
      </c>
      <c r="E11" s="121">
        <f t="shared" si="0"/>
        <v>1.6755145593396709E-6</v>
      </c>
      <c r="F11" s="121">
        <f t="shared" si="1"/>
        <v>7.6000000000000003E-7</v>
      </c>
      <c r="G11" s="163"/>
      <c r="I11" s="138" t="s">
        <v>140</v>
      </c>
      <c r="J11" s="138"/>
    </row>
    <row r="12" spans="1:13">
      <c r="A12" s="175"/>
      <c r="B12" s="4" t="s">
        <v>14</v>
      </c>
      <c r="C12" s="5">
        <v>1.1337E-5</v>
      </c>
      <c r="D12" s="5" t="s">
        <v>24</v>
      </c>
      <c r="E12" s="121">
        <f t="shared" si="0"/>
        <v>2.4993827051623485E-5</v>
      </c>
      <c r="F12" s="121">
        <f t="shared" si="1"/>
        <v>1.1337E-5</v>
      </c>
      <c r="G12" s="163"/>
      <c r="I12" s="138" t="s">
        <v>141</v>
      </c>
      <c r="J12" s="138"/>
    </row>
    <row r="13" spans="1:13">
      <c r="A13" s="164" t="s">
        <v>20</v>
      </c>
      <c r="B13" s="33" t="s">
        <v>8</v>
      </c>
      <c r="C13" s="5">
        <v>0.27</v>
      </c>
      <c r="D13" s="5" t="s">
        <v>24</v>
      </c>
      <c r="E13" s="121">
        <f t="shared" si="0"/>
        <v>0.59524859344962</v>
      </c>
      <c r="F13" s="121">
        <f t="shared" si="1"/>
        <v>0.27</v>
      </c>
      <c r="G13" s="167" t="s">
        <v>23</v>
      </c>
      <c r="I13" s="138" t="s">
        <v>142</v>
      </c>
      <c r="J13" s="138"/>
    </row>
    <row r="14" spans="1:13">
      <c r="A14" s="165"/>
      <c r="B14" s="33" t="s">
        <v>9</v>
      </c>
      <c r="C14" s="5">
        <f>0.36/1000</f>
        <v>3.5999999999999997E-4</v>
      </c>
      <c r="D14" s="5" t="s">
        <v>24</v>
      </c>
      <c r="E14" s="121">
        <f t="shared" si="0"/>
        <v>7.9366479126615982E-4</v>
      </c>
      <c r="F14" s="121">
        <f t="shared" si="1"/>
        <v>3.5999999999999997E-4</v>
      </c>
      <c r="G14" s="168"/>
      <c r="I14" s="138" t="s">
        <v>143</v>
      </c>
      <c r="J14" s="138"/>
    </row>
    <row r="15" spans="1:13">
      <c r="A15" s="165"/>
      <c r="B15" s="4" t="s">
        <v>6</v>
      </c>
      <c r="C15" s="5">
        <v>1.1389991E-5</v>
      </c>
      <c r="D15" s="5" t="s">
        <v>24</v>
      </c>
      <c r="E15" s="121">
        <f t="shared" si="0"/>
        <v>2.5110652304273444E-5</v>
      </c>
      <c r="F15" s="121">
        <f t="shared" si="1"/>
        <v>1.1389991E-5</v>
      </c>
      <c r="G15" s="168"/>
      <c r="I15" s="138" t="s">
        <v>144</v>
      </c>
      <c r="J15" s="138"/>
    </row>
    <row r="16" spans="1:13">
      <c r="A16" s="165"/>
      <c r="B16" s="5" t="s">
        <v>7</v>
      </c>
      <c r="C16" s="5">
        <f>0.06/1000</f>
        <v>5.9999999999999995E-5</v>
      </c>
      <c r="D16" s="5" t="s">
        <v>24</v>
      </c>
      <c r="E16" s="121">
        <f t="shared" si="0"/>
        <v>1.3227746521102664E-4</v>
      </c>
      <c r="F16" s="121">
        <f t="shared" si="1"/>
        <v>5.9999999999999995E-5</v>
      </c>
      <c r="G16" s="168"/>
      <c r="I16" s="138" t="s">
        <v>145</v>
      </c>
      <c r="J16" s="138"/>
    </row>
    <row r="17" spans="1:10">
      <c r="A17" s="165"/>
      <c r="B17" s="5" t="s">
        <v>15</v>
      </c>
      <c r="C17" s="5">
        <v>0.51200000000000001</v>
      </c>
      <c r="D17" s="5" t="s">
        <v>24</v>
      </c>
      <c r="E17" s="121">
        <f t="shared" si="0"/>
        <v>1.1287677031340941</v>
      </c>
      <c r="F17" s="121">
        <f t="shared" si="1"/>
        <v>0.51200000000000001</v>
      </c>
      <c r="G17" s="168"/>
      <c r="I17" s="138" t="s">
        <v>146</v>
      </c>
      <c r="J17" s="138"/>
    </row>
    <row r="18" spans="1:10" ht="15" customHeight="1">
      <c r="A18" s="166"/>
      <c r="B18" s="32" t="s">
        <v>19</v>
      </c>
      <c r="C18" s="5">
        <v>0.871</v>
      </c>
      <c r="D18" s="5" t="s">
        <v>24</v>
      </c>
      <c r="E18" s="121">
        <f t="shared" si="0"/>
        <v>1.9202278699800701</v>
      </c>
      <c r="F18" s="121">
        <f t="shared" si="1"/>
        <v>0.871</v>
      </c>
      <c r="G18" s="169"/>
      <c r="I18" s="138" t="s">
        <v>147</v>
      </c>
      <c r="J18" s="138"/>
    </row>
    <row r="19" spans="1:10">
      <c r="A19" s="45"/>
      <c r="B19" s="46"/>
      <c r="C19" s="47"/>
      <c r="D19" s="11"/>
      <c r="E19" s="11"/>
      <c r="F19" s="11"/>
      <c r="G19" s="35"/>
      <c r="I19" s="10"/>
      <c r="J19" s="138"/>
    </row>
    <row r="20" spans="1:10" ht="17">
      <c r="A20" s="176" t="s">
        <v>116</v>
      </c>
      <c r="B20" s="177"/>
      <c r="C20" s="127">
        <f>C21/E226</f>
        <v>8.3312756838744946</v>
      </c>
      <c r="E20" s="9" t="s">
        <v>27</v>
      </c>
      <c r="F20">
        <v>3.7789999999999999</v>
      </c>
      <c r="G20" t="s">
        <v>24</v>
      </c>
      <c r="I20" s="139" t="s">
        <v>123</v>
      </c>
      <c r="J20" s="140"/>
    </row>
    <row r="21" spans="1:10">
      <c r="A21" s="181" t="s">
        <v>30</v>
      </c>
      <c r="B21" s="195"/>
      <c r="C21" s="127">
        <f>D5*F20</f>
        <v>3.7789999999999999</v>
      </c>
      <c r="I21" s="102"/>
      <c r="J21" s="138"/>
    </row>
    <row r="22" spans="1:10">
      <c r="A22" s="178" t="s">
        <v>31</v>
      </c>
      <c r="B22" s="179"/>
      <c r="C22" s="141">
        <f>laptop_weight_2/(other_weight_2 + hdd_weight_2 + image_weight_2 + mobile_weight_2 + lcd_weight_2 + ds_weight_2 + crt_weight_2 + laptop_weight_2)</f>
        <v>6.0659858551290391E-3</v>
      </c>
      <c r="E22" s="11"/>
      <c r="I22" s="102" t="s">
        <v>132</v>
      </c>
      <c r="J22" s="138"/>
    </row>
    <row r="23" spans="1:10">
      <c r="A23" s="176" t="s">
        <v>108</v>
      </c>
      <c r="B23" s="177"/>
      <c r="C23" s="127">
        <f>SUM(E9:E12)</f>
        <v>1.3483696802412744E-2</v>
      </c>
      <c r="I23" s="99" t="s">
        <v>113</v>
      </c>
      <c r="J23" s="138"/>
    </row>
    <row r="24" spans="1:10">
      <c r="A24" s="178" t="s">
        <v>109</v>
      </c>
      <c r="B24" s="179"/>
      <c r="C24" s="127">
        <f>SUM(F9:F12)</f>
        <v>6.116097E-3</v>
      </c>
      <c r="I24" s="99"/>
      <c r="J24" s="138"/>
    </row>
    <row r="25" spans="1:10" s="11" customFormat="1" ht="16" customHeight="1">
      <c r="A25" s="70"/>
      <c r="B25" s="70" t="s">
        <v>74</v>
      </c>
      <c r="C25" s="128">
        <f>E8+E7</f>
        <v>36.353975514530156</v>
      </c>
      <c r="D25"/>
      <c r="E25"/>
      <c r="F25"/>
      <c r="G25"/>
      <c r="H25" s="22"/>
      <c r="I25" s="99" t="s">
        <v>114</v>
      </c>
      <c r="J25" s="138"/>
    </row>
    <row r="26" spans="1:10">
      <c r="B26" s="70" t="s">
        <v>73</v>
      </c>
      <c r="C26" s="128">
        <f>F7+F8</f>
        <v>16.48987246158676</v>
      </c>
      <c r="I26" s="100"/>
      <c r="J26" s="17"/>
    </row>
    <row r="27" spans="1:10" ht="15" customHeight="1">
      <c r="A27" s="35"/>
      <c r="F27" s="11"/>
      <c r="I27" s="10"/>
      <c r="J27" s="17"/>
    </row>
    <row r="28" spans="1:10" ht="15" customHeight="1">
      <c r="A28" s="170" t="s">
        <v>61</v>
      </c>
      <c r="B28" s="171"/>
      <c r="C28" s="171"/>
      <c r="D28" s="171"/>
      <c r="E28" s="171"/>
      <c r="F28" s="72"/>
      <c r="G28" s="11"/>
      <c r="H28" s="17"/>
      <c r="I28" s="102" t="s">
        <v>83</v>
      </c>
      <c r="J28" s="17"/>
    </row>
    <row r="29" spans="1:10">
      <c r="B29" s="77" t="s">
        <v>115</v>
      </c>
      <c r="C29" s="79"/>
      <c r="D29" s="80">
        <v>1</v>
      </c>
      <c r="I29" s="99"/>
      <c r="J29" s="17"/>
    </row>
    <row r="30" spans="1:10">
      <c r="A30" s="34" t="s">
        <v>0</v>
      </c>
      <c r="B30" s="34" t="s">
        <v>3</v>
      </c>
      <c r="C30" s="34" t="s">
        <v>1</v>
      </c>
      <c r="D30" s="34" t="s">
        <v>2</v>
      </c>
      <c r="E30" s="34" t="s">
        <v>22</v>
      </c>
      <c r="F30" s="3" t="s">
        <v>26</v>
      </c>
      <c r="I30" s="99"/>
      <c r="J30" s="17"/>
    </row>
    <row r="31" spans="1:10">
      <c r="A31" s="161" t="s">
        <v>21</v>
      </c>
      <c r="B31" s="32" t="s">
        <v>70</v>
      </c>
      <c r="C31" s="103">
        <v>2.99364E-5</v>
      </c>
      <c r="D31" s="67" t="s">
        <v>72</v>
      </c>
      <c r="E31" s="121">
        <f t="shared" ref="E31:E42" si="2">F31/$E$226</f>
        <v>16.688225405576819</v>
      </c>
      <c r="F31" s="121">
        <f>C31*crt_kg*C199</f>
        <v>7.5696455381664007</v>
      </c>
      <c r="G31" s="163" t="s">
        <v>57</v>
      </c>
      <c r="I31" s="138" t="s">
        <v>111</v>
      </c>
      <c r="J31" s="17"/>
    </row>
    <row r="32" spans="1:10" ht="15" customHeight="1">
      <c r="A32" s="162"/>
      <c r="B32" s="32" t="s">
        <v>136</v>
      </c>
      <c r="C32" s="5"/>
      <c r="D32" s="67"/>
      <c r="E32" s="121">
        <f t="shared" si="2"/>
        <v>28.6330837745992</v>
      </c>
      <c r="F32" s="121">
        <f>(C201*F41+C202*F40+C203*F39+C204*F38+C205*F37+C206*F42)*1000</f>
        <v>12.987737735488</v>
      </c>
      <c r="G32" s="163"/>
      <c r="I32" s="138" t="s">
        <v>112</v>
      </c>
      <c r="J32" s="17"/>
    </row>
    <row r="33" spans="1:10">
      <c r="A33" s="184" t="s">
        <v>79</v>
      </c>
      <c r="B33" s="4" t="s">
        <v>16</v>
      </c>
      <c r="C33" s="32">
        <v>1.0820000000000001</v>
      </c>
      <c r="D33" s="5" t="s">
        <v>24</v>
      </c>
      <c r="E33" s="121">
        <f t="shared" si="2"/>
        <v>2.3854036226388473</v>
      </c>
      <c r="F33" s="121">
        <f t="shared" ref="F33:F42" si="3">crt_count*C33</f>
        <v>1.0820000000000001</v>
      </c>
      <c r="G33" s="163"/>
      <c r="I33" s="138" t="s">
        <v>138</v>
      </c>
      <c r="J33" s="17"/>
    </row>
    <row r="34" spans="1:10">
      <c r="A34" s="184"/>
      <c r="B34" s="4" t="s">
        <v>17</v>
      </c>
      <c r="C34" s="5"/>
      <c r="D34" s="5"/>
      <c r="E34" s="121">
        <f t="shared" si="2"/>
        <v>0</v>
      </c>
      <c r="F34" s="121">
        <f t="shared" si="3"/>
        <v>0</v>
      </c>
      <c r="G34" s="163"/>
      <c r="I34" s="138" t="s">
        <v>139</v>
      </c>
      <c r="J34" s="17"/>
    </row>
    <row r="35" spans="1:10">
      <c r="A35" s="184"/>
      <c r="B35" s="4" t="s">
        <v>18</v>
      </c>
      <c r="C35" s="5">
        <v>2.4800000000000001E-4</v>
      </c>
      <c r="D35" s="5" t="s">
        <v>24</v>
      </c>
      <c r="E35" s="121">
        <f t="shared" si="2"/>
        <v>5.467468562055769E-4</v>
      </c>
      <c r="F35" s="121">
        <f t="shared" si="3"/>
        <v>2.4800000000000001E-4</v>
      </c>
      <c r="G35" s="163"/>
      <c r="I35" s="138" t="s">
        <v>140</v>
      </c>
      <c r="J35" s="20"/>
    </row>
    <row r="36" spans="1:10">
      <c r="A36" s="184"/>
      <c r="B36" s="4" t="s">
        <v>14</v>
      </c>
      <c r="C36" s="5">
        <v>1.51032E-4</v>
      </c>
      <c r="D36" s="5"/>
      <c r="E36" s="121">
        <f t="shared" si="2"/>
        <v>3.3296883542919631E-4</v>
      </c>
      <c r="F36" s="121">
        <f t="shared" si="3"/>
        <v>1.51032E-4</v>
      </c>
      <c r="G36" s="163"/>
      <c r="I36" s="138" t="s">
        <v>141</v>
      </c>
      <c r="J36" s="39"/>
    </row>
    <row r="37" spans="1:10">
      <c r="A37" s="172" t="s">
        <v>20</v>
      </c>
      <c r="B37" s="33" t="s">
        <v>8</v>
      </c>
      <c r="C37" s="5">
        <v>1.1225000000000001</v>
      </c>
      <c r="D37" s="5" t="s">
        <v>24</v>
      </c>
      <c r="E37" s="121">
        <f t="shared" si="2"/>
        <v>2.4746909116562903</v>
      </c>
      <c r="F37" s="121">
        <f t="shared" si="3"/>
        <v>1.1225000000000001</v>
      </c>
      <c r="G37" s="158" t="s">
        <v>23</v>
      </c>
      <c r="I37" s="138" t="s">
        <v>142</v>
      </c>
      <c r="J37" s="39"/>
    </row>
    <row r="38" spans="1:10">
      <c r="A38" s="172"/>
      <c r="B38" s="33" t="s">
        <v>9</v>
      </c>
      <c r="C38" s="5">
        <v>1.079E-5</v>
      </c>
      <c r="D38" s="5" t="s">
        <v>24</v>
      </c>
      <c r="E38" s="121">
        <f t="shared" si="2"/>
        <v>2.3787897493782961E-5</v>
      </c>
      <c r="F38" s="121">
        <f t="shared" si="3"/>
        <v>1.079E-5</v>
      </c>
      <c r="G38" s="159"/>
      <c r="I38" s="138" t="s">
        <v>143</v>
      </c>
      <c r="J38" s="39"/>
    </row>
    <row r="39" spans="1:10" ht="15" customHeight="1">
      <c r="A39" s="172"/>
      <c r="B39" s="4" t="s">
        <v>6</v>
      </c>
      <c r="C39" s="5">
        <v>4.7457199999999997E-5</v>
      </c>
      <c r="D39" s="5" t="s">
        <v>24</v>
      </c>
      <c r="E39" s="121">
        <f t="shared" si="2"/>
        <v>1.0462530203354556E-4</v>
      </c>
      <c r="F39" s="121">
        <f t="shared" si="3"/>
        <v>4.7457199999999997E-5</v>
      </c>
      <c r="G39" s="159"/>
      <c r="I39" s="138" t="s">
        <v>144</v>
      </c>
      <c r="J39" s="39"/>
    </row>
    <row r="40" spans="1:10">
      <c r="A40" s="172"/>
      <c r="B40" s="5" t="s">
        <v>7</v>
      </c>
      <c r="C40" s="5">
        <v>4.3149999999999999E-5</v>
      </c>
      <c r="D40" s="5" t="s">
        <v>24</v>
      </c>
      <c r="E40" s="121">
        <f t="shared" si="2"/>
        <v>9.5129543730929994E-5</v>
      </c>
      <c r="F40" s="121">
        <f t="shared" si="3"/>
        <v>4.3149999999999999E-5</v>
      </c>
      <c r="G40" s="159"/>
      <c r="I40" s="138" t="s">
        <v>145</v>
      </c>
      <c r="J40" s="39"/>
    </row>
    <row r="41" spans="1:10">
      <c r="A41" s="172"/>
      <c r="B41" s="5" t="s">
        <v>15</v>
      </c>
      <c r="C41" s="5">
        <v>0.15856999999999999</v>
      </c>
      <c r="D41" s="5" t="s">
        <v>24</v>
      </c>
      <c r="E41" s="121">
        <f t="shared" si="2"/>
        <v>0.34958729430854157</v>
      </c>
      <c r="F41" s="121">
        <f t="shared" si="3"/>
        <v>0.15856999999999999</v>
      </c>
      <c r="G41" s="159"/>
      <c r="I41" s="138" t="s">
        <v>146</v>
      </c>
      <c r="J41" s="39"/>
    </row>
    <row r="42" spans="1:10">
      <c r="A42" s="172"/>
      <c r="B42" s="32" t="s">
        <v>19</v>
      </c>
      <c r="C42" s="5">
        <v>6.0511999999999997</v>
      </c>
      <c r="D42" s="5" t="s">
        <v>24</v>
      </c>
      <c r="E42" s="121">
        <f t="shared" si="2"/>
        <v>13.340623291416074</v>
      </c>
      <c r="F42" s="121">
        <f t="shared" si="3"/>
        <v>6.0511999999999997</v>
      </c>
      <c r="G42" s="160"/>
      <c r="I42" s="138" t="s">
        <v>147</v>
      </c>
      <c r="J42" s="39"/>
    </row>
    <row r="43" spans="1:10" ht="20" customHeight="1">
      <c r="A43" s="30"/>
      <c r="B43" s="11"/>
      <c r="C43" s="11"/>
      <c r="D43" s="11"/>
      <c r="E43" s="11"/>
      <c r="F43" s="11"/>
      <c r="I43" s="10"/>
      <c r="J43" s="39"/>
    </row>
    <row r="44" spans="1:10" ht="17">
      <c r="A44" s="176" t="s">
        <v>117</v>
      </c>
      <c r="B44" s="177"/>
      <c r="C44" s="127">
        <f>C45/E226</f>
        <v>54.674685620557682</v>
      </c>
      <c r="D44" s="11"/>
      <c r="E44" s="9" t="s">
        <v>27</v>
      </c>
      <c r="F44">
        <v>24.8</v>
      </c>
      <c r="G44" t="s">
        <v>24</v>
      </c>
      <c r="I44" s="139" t="s">
        <v>123</v>
      </c>
      <c r="J44" s="40"/>
    </row>
    <row r="45" spans="1:10" ht="15" customHeight="1">
      <c r="A45" s="176" t="s">
        <v>62</v>
      </c>
      <c r="B45" s="177"/>
      <c r="C45" s="127">
        <f>D29*F44</f>
        <v>24.8</v>
      </c>
      <c r="D45" s="11"/>
      <c r="E45" s="11"/>
      <c r="I45" s="102"/>
      <c r="J45" s="17"/>
    </row>
    <row r="46" spans="1:10" s="11" customFormat="1" ht="20" customHeight="1">
      <c r="A46" s="178" t="s">
        <v>31</v>
      </c>
      <c r="B46" s="179"/>
      <c r="C46" s="141">
        <f>crt_weight_2/(other_weight_2 + hdd_weight_2 + image_weight_2 + mobile_weight_2 + lcd_weight_2 + ds_weight_2 + crt_weight_2 + laptop_weight_2)</f>
        <v>3.9808533793913782E-2</v>
      </c>
      <c r="D46"/>
      <c r="E46"/>
      <c r="F46"/>
      <c r="G46"/>
      <c r="H46" s="55"/>
      <c r="I46" s="102" t="s">
        <v>132</v>
      </c>
      <c r="J46" s="39"/>
    </row>
    <row r="47" spans="1:10" s="22" customFormat="1">
      <c r="A47" s="176" t="s">
        <v>108</v>
      </c>
      <c r="B47" s="177"/>
      <c r="C47" s="127">
        <f>SUM(E33:E36)</f>
        <v>2.386283338330482</v>
      </c>
      <c r="D47" s="11"/>
      <c r="E47" s="11"/>
      <c r="F47"/>
      <c r="G47"/>
      <c r="I47" s="99" t="s">
        <v>113</v>
      </c>
      <c r="J47" s="39"/>
    </row>
    <row r="48" spans="1:10">
      <c r="A48" s="178" t="s">
        <v>109</v>
      </c>
      <c r="B48" s="179"/>
      <c r="C48" s="127">
        <f>SUM(F33:F36)</f>
        <v>1.0823990320000001</v>
      </c>
      <c r="D48" s="11"/>
      <c r="E48" s="11"/>
      <c r="I48" s="99"/>
      <c r="J48" s="39"/>
    </row>
    <row r="49" spans="1:10" ht="15" customHeight="1">
      <c r="A49" s="70"/>
      <c r="B49" s="70" t="s">
        <v>74</v>
      </c>
      <c r="C49" s="128">
        <f>E31+E32</f>
        <v>45.321309180176016</v>
      </c>
      <c r="D49" s="11"/>
      <c r="E49" s="11"/>
      <c r="I49" s="99" t="s">
        <v>114</v>
      </c>
      <c r="J49" s="39"/>
    </row>
    <row r="50" spans="1:10" ht="15" customHeight="1">
      <c r="B50" s="70" t="s">
        <v>73</v>
      </c>
      <c r="C50" s="128">
        <f>F31+F32</f>
        <v>20.557383273654402</v>
      </c>
      <c r="I50" s="99"/>
      <c r="J50" s="17"/>
    </row>
    <row r="51" spans="1:10">
      <c r="I51" s="10"/>
      <c r="J51" s="17"/>
    </row>
    <row r="52" spans="1:10" ht="21">
      <c r="A52" s="170" t="s">
        <v>58</v>
      </c>
      <c r="B52" s="170"/>
      <c r="C52" s="170"/>
      <c r="D52" s="170"/>
      <c r="E52" s="170"/>
      <c r="F52" s="72"/>
      <c r="G52" s="11"/>
      <c r="H52" s="17"/>
      <c r="I52" s="99" t="s">
        <v>82</v>
      </c>
      <c r="J52" s="17"/>
    </row>
    <row r="53" spans="1:10" ht="15" customHeight="1">
      <c r="A53" s="48"/>
      <c r="B53" s="77" t="s">
        <v>115</v>
      </c>
      <c r="C53" s="81"/>
      <c r="D53" s="82">
        <v>1</v>
      </c>
      <c r="E53" s="22"/>
      <c r="F53" s="20"/>
      <c r="G53" s="22"/>
      <c r="I53" s="99"/>
      <c r="J53" s="41"/>
    </row>
    <row r="54" spans="1:10">
      <c r="A54" s="34" t="s">
        <v>0</v>
      </c>
      <c r="B54" s="34" t="s">
        <v>3</v>
      </c>
      <c r="C54" s="34" t="s">
        <v>1</v>
      </c>
      <c r="D54" s="34" t="s">
        <v>2</v>
      </c>
      <c r="E54" s="34" t="s">
        <v>22</v>
      </c>
      <c r="F54" s="44" t="s">
        <v>26</v>
      </c>
      <c r="I54" s="99"/>
      <c r="J54" s="41"/>
    </row>
    <row r="55" spans="1:10">
      <c r="A55" s="161" t="s">
        <v>21</v>
      </c>
      <c r="B55" s="32" t="s">
        <v>70</v>
      </c>
      <c r="C55" s="103">
        <v>2.99364E-5</v>
      </c>
      <c r="D55" s="67" t="s">
        <v>72</v>
      </c>
      <c r="E55" s="121">
        <f t="shared" ref="E55:E66" si="4">F55/$E$226</f>
        <v>6.6618319159359087</v>
      </c>
      <c r="F55" s="122">
        <f>C55*desktop_kg*C199</f>
        <v>3.0217536624132006</v>
      </c>
      <c r="I55" s="138" t="s">
        <v>111</v>
      </c>
      <c r="J55" s="17"/>
    </row>
    <row r="56" spans="1:10">
      <c r="A56" s="162"/>
      <c r="B56" s="32" t="s">
        <v>136</v>
      </c>
      <c r="C56" s="5"/>
      <c r="D56" s="67"/>
      <c r="E56" s="121">
        <f t="shared" si="4"/>
        <v>35.726038857889911</v>
      </c>
      <c r="F56" s="121">
        <f>(C201*F65+C202*F64+C203*F63+C204*F62+C205*F61+C206*F66)*1000</f>
        <v>16.205045417628</v>
      </c>
      <c r="G56" s="158" t="s">
        <v>57</v>
      </c>
      <c r="I56" s="138" t="s">
        <v>112</v>
      </c>
      <c r="J56" s="17"/>
    </row>
    <row r="57" spans="1:10">
      <c r="A57" s="173" t="s">
        <v>79</v>
      </c>
      <c r="B57" s="4" t="s">
        <v>16</v>
      </c>
      <c r="C57" s="5">
        <v>1.9800000000000002E-2</v>
      </c>
      <c r="D57" s="5" t="s">
        <v>24</v>
      </c>
      <c r="E57" s="121">
        <f t="shared" si="4"/>
        <v>4.3651563519638802E-2</v>
      </c>
      <c r="F57" s="121">
        <f t="shared" ref="F57:F66" si="5">desktop_count*C57</f>
        <v>1.9800000000000002E-2</v>
      </c>
      <c r="G57" s="159"/>
      <c r="I57" s="138" t="s">
        <v>138</v>
      </c>
    </row>
    <row r="58" spans="1:10">
      <c r="A58" s="174"/>
      <c r="B58" s="4" t="s">
        <v>17</v>
      </c>
      <c r="C58" s="5"/>
      <c r="D58" s="5"/>
      <c r="E58" s="121">
        <f t="shared" si="4"/>
        <v>0</v>
      </c>
      <c r="F58" s="121">
        <f t="shared" si="5"/>
        <v>0</v>
      </c>
      <c r="G58" s="159"/>
      <c r="I58" s="138" t="s">
        <v>139</v>
      </c>
    </row>
    <row r="59" spans="1:10">
      <c r="A59" s="174"/>
      <c r="B59" s="4" t="s">
        <v>18</v>
      </c>
      <c r="C59" s="5"/>
      <c r="D59" s="5"/>
      <c r="E59" s="121">
        <f t="shared" si="4"/>
        <v>0</v>
      </c>
      <c r="F59" s="121">
        <f t="shared" si="5"/>
        <v>0</v>
      </c>
      <c r="G59" s="159"/>
      <c r="I59" s="138" t="s">
        <v>140</v>
      </c>
    </row>
    <row r="60" spans="1:10" ht="15" customHeight="1">
      <c r="A60" s="175"/>
      <c r="B60" s="4" t="s">
        <v>14</v>
      </c>
      <c r="C60" s="5">
        <v>3.9600000000000003E-2</v>
      </c>
      <c r="D60" s="5" t="s">
        <v>24</v>
      </c>
      <c r="E60" s="121">
        <f t="shared" si="4"/>
        <v>8.7303127039277603E-2</v>
      </c>
      <c r="F60" s="121">
        <f t="shared" si="5"/>
        <v>3.9600000000000003E-2</v>
      </c>
      <c r="G60" s="160"/>
      <c r="I60" s="138" t="s">
        <v>141</v>
      </c>
    </row>
    <row r="61" spans="1:10">
      <c r="A61" s="164" t="s">
        <v>20</v>
      </c>
      <c r="B61" s="33" t="s">
        <v>8</v>
      </c>
      <c r="C61" s="5">
        <v>0.1069</v>
      </c>
      <c r="D61" s="5" t="s">
        <v>24</v>
      </c>
      <c r="E61" s="121">
        <f t="shared" si="4"/>
        <v>0.23567435051764579</v>
      </c>
      <c r="F61" s="121">
        <f t="shared" si="5"/>
        <v>0.1069</v>
      </c>
      <c r="G61" s="158" t="s">
        <v>23</v>
      </c>
      <c r="I61" s="138" t="s">
        <v>142</v>
      </c>
    </row>
    <row r="62" spans="1:10">
      <c r="A62" s="165"/>
      <c r="B62" s="33" t="s">
        <v>9</v>
      </c>
      <c r="C62" s="5">
        <v>2.9700000000000001E-4</v>
      </c>
      <c r="D62" s="5" t="s">
        <v>24</v>
      </c>
      <c r="E62" s="121">
        <f t="shared" si="4"/>
        <v>6.5477345279458198E-4</v>
      </c>
      <c r="F62" s="121">
        <f t="shared" si="5"/>
        <v>2.9700000000000001E-4</v>
      </c>
      <c r="G62" s="159"/>
      <c r="I62" s="138" t="s">
        <v>143</v>
      </c>
    </row>
    <row r="63" spans="1:10" ht="15" customHeight="1">
      <c r="A63" s="165"/>
      <c r="B63" s="4" t="s">
        <v>6</v>
      </c>
      <c r="C63" s="5">
        <v>2.0473199999999999E-5</v>
      </c>
      <c r="D63" s="5" t="s">
        <v>24</v>
      </c>
      <c r="E63" s="121">
        <f t="shared" si="4"/>
        <v>4.5135716679306511E-5</v>
      </c>
      <c r="F63" s="121">
        <f t="shared" si="5"/>
        <v>2.0473199999999999E-5</v>
      </c>
      <c r="G63" s="159"/>
      <c r="I63" s="138" t="s">
        <v>144</v>
      </c>
    </row>
    <row r="64" spans="1:10">
      <c r="A64" s="165"/>
      <c r="B64" s="5" t="s">
        <v>7</v>
      </c>
      <c r="C64" s="5">
        <v>1.3960000000000001E-4</v>
      </c>
      <c r="D64" s="5" t="s">
        <v>24</v>
      </c>
      <c r="E64" s="121">
        <f t="shared" si="4"/>
        <v>3.0776556905765537E-4</v>
      </c>
      <c r="F64" s="121">
        <f t="shared" si="5"/>
        <v>1.3960000000000001E-4</v>
      </c>
      <c r="G64" s="159"/>
      <c r="I64" s="138" t="s">
        <v>145</v>
      </c>
    </row>
    <row r="65" spans="1:10">
      <c r="A65" s="165"/>
      <c r="B65" s="5" t="s">
        <v>15</v>
      </c>
      <c r="C65" s="5">
        <v>0.35639999999999999</v>
      </c>
      <c r="D65" s="5" t="s">
        <v>24</v>
      </c>
      <c r="E65" s="121">
        <f t="shared" si="4"/>
        <v>0.78572814335349828</v>
      </c>
      <c r="F65" s="121">
        <f t="shared" si="5"/>
        <v>0.35639999999999999</v>
      </c>
      <c r="G65" s="159"/>
      <c r="I65" s="138" t="s">
        <v>146</v>
      </c>
    </row>
    <row r="66" spans="1:10">
      <c r="A66" s="166"/>
      <c r="B66" s="32" t="s">
        <v>19</v>
      </c>
      <c r="C66" s="5">
        <v>4.9302000000000001</v>
      </c>
      <c r="D66" s="5" t="s">
        <v>24</v>
      </c>
      <c r="E66" s="121">
        <f t="shared" si="4"/>
        <v>10.869239316390059</v>
      </c>
      <c r="F66" s="121">
        <f t="shared" si="5"/>
        <v>4.9302000000000001</v>
      </c>
      <c r="G66" s="160"/>
      <c r="I66" s="138" t="s">
        <v>147</v>
      </c>
    </row>
    <row r="67" spans="1:10" s="11" customFormat="1">
      <c r="A67" s="30"/>
      <c r="G67"/>
      <c r="H67" s="22"/>
      <c r="I67" s="10"/>
    </row>
    <row r="68" spans="1:10" s="22" customFormat="1" ht="15" customHeight="1">
      <c r="A68" s="181" t="s">
        <v>118</v>
      </c>
      <c r="B68" s="182"/>
      <c r="C68" s="127">
        <f>C69/E226</f>
        <v>21.825781759819399</v>
      </c>
      <c r="D68" s="13"/>
      <c r="E68" s="9" t="s">
        <v>27</v>
      </c>
      <c r="F68">
        <v>9.9</v>
      </c>
      <c r="G68" t="s">
        <v>24</v>
      </c>
      <c r="I68" s="139" t="s">
        <v>123</v>
      </c>
    </row>
    <row r="69" spans="1:10">
      <c r="A69" s="181" t="s">
        <v>63</v>
      </c>
      <c r="B69" s="182"/>
      <c r="C69" s="129">
        <f>D53*F68</f>
        <v>9.9</v>
      </c>
      <c r="D69" s="7"/>
      <c r="E69" s="7"/>
      <c r="I69" s="102"/>
    </row>
    <row r="70" spans="1:10" ht="15" customHeight="1">
      <c r="A70" s="181" t="s">
        <v>31</v>
      </c>
      <c r="B70" s="182"/>
      <c r="C70" s="142">
        <f>ds_weight_2/(other_weight_2 + hdd_weight_2 + image_weight_2 + mobile_weight_2 + lcd_weight_2 + ds_weight_2 + crt_weight_2 + laptop_weight_2)</f>
        <v>1.5891309861280099E-2</v>
      </c>
      <c r="I70" s="102" t="s">
        <v>132</v>
      </c>
    </row>
    <row r="71" spans="1:10">
      <c r="A71" s="176" t="s">
        <v>108</v>
      </c>
      <c r="B71" s="177"/>
      <c r="C71" s="130">
        <f>SUM(E57:E60)</f>
        <v>0.1309546905589164</v>
      </c>
      <c r="I71" s="99" t="s">
        <v>113</v>
      </c>
    </row>
    <row r="72" spans="1:10">
      <c r="A72" s="178" t="s">
        <v>109</v>
      </c>
      <c r="B72" s="179"/>
      <c r="C72" s="130">
        <f>SUM(F57:F60)</f>
        <v>5.9400000000000008E-2</v>
      </c>
      <c r="I72" s="99"/>
    </row>
    <row r="73" spans="1:10">
      <c r="A73" s="69"/>
      <c r="B73" s="70" t="s">
        <v>74</v>
      </c>
      <c r="C73" s="128">
        <f>E55+E56</f>
        <v>42.387870773825817</v>
      </c>
      <c r="I73" s="99" t="s">
        <v>114</v>
      </c>
    </row>
    <row r="74" spans="1:10" ht="15" customHeight="1">
      <c r="B74" s="70" t="s">
        <v>73</v>
      </c>
      <c r="C74" s="128">
        <f>F55+F56</f>
        <v>19.2267990800412</v>
      </c>
      <c r="I74" s="10"/>
    </row>
    <row r="75" spans="1:10">
      <c r="I75" s="10"/>
    </row>
    <row r="76" spans="1:10" ht="21">
      <c r="A76" s="180" t="s">
        <v>60</v>
      </c>
      <c r="B76" s="180"/>
      <c r="C76" s="180"/>
      <c r="D76" s="180"/>
      <c r="E76" s="180"/>
      <c r="F76" s="50"/>
      <c r="G76" s="11"/>
      <c r="H76" s="17"/>
      <c r="I76" s="99"/>
      <c r="J76" s="99" t="s">
        <v>87</v>
      </c>
    </row>
    <row r="77" spans="1:10" ht="21">
      <c r="A77" s="49"/>
      <c r="B77" s="77" t="s">
        <v>115</v>
      </c>
      <c r="C77" s="81"/>
      <c r="D77" s="82">
        <v>0</v>
      </c>
      <c r="E77" s="22"/>
      <c r="F77" s="50"/>
      <c r="G77" s="22"/>
      <c r="I77" s="10"/>
      <c r="J77" s="10" t="s">
        <v>84</v>
      </c>
    </row>
    <row r="78" spans="1:10">
      <c r="A78" s="34" t="s">
        <v>0</v>
      </c>
      <c r="B78" s="34" t="s">
        <v>3</v>
      </c>
      <c r="C78" s="34" t="s">
        <v>1</v>
      </c>
      <c r="D78" s="34" t="s">
        <v>2</v>
      </c>
      <c r="E78" s="34" t="s">
        <v>22</v>
      </c>
      <c r="F78" s="44" t="s">
        <v>26</v>
      </c>
      <c r="I78" s="99"/>
      <c r="J78" s="99"/>
    </row>
    <row r="79" spans="1:10">
      <c r="A79" s="161" t="s">
        <v>21</v>
      </c>
      <c r="B79" s="32" t="s">
        <v>70</v>
      </c>
      <c r="C79" s="103">
        <v>2.99364E-5</v>
      </c>
      <c r="D79" s="67" t="s">
        <v>72</v>
      </c>
      <c r="E79" s="121">
        <f t="shared" ref="E79:E90" si="6">F79/$E$226</f>
        <v>0</v>
      </c>
      <c r="F79" s="121">
        <f>C79*flat_kg*C199</f>
        <v>0</v>
      </c>
      <c r="G79" s="163" t="s">
        <v>57</v>
      </c>
      <c r="I79" s="138" t="s">
        <v>111</v>
      </c>
      <c r="J79" s="99"/>
    </row>
    <row r="80" spans="1:10">
      <c r="A80" s="162"/>
      <c r="B80" s="32" t="s">
        <v>136</v>
      </c>
      <c r="C80" s="5"/>
      <c r="D80" s="67"/>
      <c r="E80" s="121">
        <f t="shared" si="6"/>
        <v>0</v>
      </c>
      <c r="F80" s="121">
        <f>(C201*F89+C202*F88+C203*F87+C204*F86+C205*F85+C206*F90)*1000</f>
        <v>0</v>
      </c>
      <c r="G80" s="163"/>
      <c r="I80" s="138" t="s">
        <v>112</v>
      </c>
      <c r="J80" s="99"/>
    </row>
    <row r="81" spans="1:10" ht="15" customHeight="1">
      <c r="A81" s="184" t="s">
        <v>79</v>
      </c>
      <c r="B81" s="4" t="s">
        <v>16</v>
      </c>
      <c r="C81" s="97">
        <v>1.0710000000000001E-2</v>
      </c>
      <c r="D81" s="5" t="s">
        <v>24</v>
      </c>
      <c r="E81" s="121">
        <f t="shared" si="6"/>
        <v>0</v>
      </c>
      <c r="F81" s="121">
        <f t="shared" ref="F81:F90" si="7">flat_count*C81</f>
        <v>0</v>
      </c>
      <c r="G81" s="163"/>
      <c r="I81" s="138" t="s">
        <v>138</v>
      </c>
      <c r="J81" s="99" t="s">
        <v>92</v>
      </c>
    </row>
    <row r="82" spans="1:10">
      <c r="A82" s="184"/>
      <c r="B82" s="4" t="s">
        <v>17</v>
      </c>
      <c r="C82" s="5">
        <v>4.5739999999999999E-5</v>
      </c>
      <c r="D82" s="5" t="s">
        <v>24</v>
      </c>
      <c r="E82" s="121">
        <f t="shared" si="6"/>
        <v>0</v>
      </c>
      <c r="F82" s="121">
        <f t="shared" si="7"/>
        <v>0</v>
      </c>
      <c r="G82" s="163"/>
      <c r="I82" s="138" t="s">
        <v>139</v>
      </c>
      <c r="J82" s="99"/>
    </row>
    <row r="83" spans="1:10">
      <c r="A83" s="184"/>
      <c r="B83" s="4" t="s">
        <v>18</v>
      </c>
      <c r="C83" s="5">
        <v>0</v>
      </c>
      <c r="D83" s="5" t="s">
        <v>24</v>
      </c>
      <c r="E83" s="121">
        <f t="shared" si="6"/>
        <v>0</v>
      </c>
      <c r="F83" s="121">
        <f t="shared" si="7"/>
        <v>0</v>
      </c>
      <c r="G83" s="163"/>
      <c r="I83" s="138" t="s">
        <v>140</v>
      </c>
      <c r="J83" s="99"/>
    </row>
    <row r="84" spans="1:10">
      <c r="A84" s="184"/>
      <c r="B84" s="4" t="s">
        <v>14</v>
      </c>
      <c r="C84" s="5">
        <v>5.1780000000000002E-5</v>
      </c>
      <c r="D84" s="5" t="s">
        <v>24</v>
      </c>
      <c r="E84" s="121">
        <f t="shared" si="6"/>
        <v>0</v>
      </c>
      <c r="F84" s="121">
        <f t="shared" si="7"/>
        <v>0</v>
      </c>
      <c r="G84" s="163"/>
      <c r="I84" s="138" t="s">
        <v>141</v>
      </c>
      <c r="J84" s="99" t="s">
        <v>95</v>
      </c>
    </row>
    <row r="85" spans="1:10">
      <c r="A85" s="172" t="s">
        <v>20</v>
      </c>
      <c r="B85" s="33" t="s">
        <v>8</v>
      </c>
      <c r="C85" s="5">
        <v>0.19777400000000001</v>
      </c>
      <c r="D85" s="5" t="s">
        <v>24</v>
      </c>
      <c r="E85" s="121">
        <f t="shared" si="6"/>
        <v>0</v>
      </c>
      <c r="F85" s="121">
        <f t="shared" si="7"/>
        <v>0</v>
      </c>
      <c r="G85" s="158" t="s">
        <v>23</v>
      </c>
      <c r="I85" s="138" t="s">
        <v>142</v>
      </c>
      <c r="J85" s="99" t="s">
        <v>96</v>
      </c>
    </row>
    <row r="86" spans="1:10" ht="15" customHeight="1">
      <c r="A86" s="172"/>
      <c r="B86" s="33" t="s">
        <v>9</v>
      </c>
      <c r="C86" s="37">
        <v>4.7470000000000004E-3</v>
      </c>
      <c r="D86" s="5" t="s">
        <v>24</v>
      </c>
      <c r="E86" s="121">
        <f t="shared" si="6"/>
        <v>0</v>
      </c>
      <c r="F86" s="121">
        <f t="shared" si="7"/>
        <v>0</v>
      </c>
      <c r="G86" s="159"/>
      <c r="I86" s="138" t="s">
        <v>143</v>
      </c>
      <c r="J86" s="10" t="s">
        <v>93</v>
      </c>
    </row>
    <row r="87" spans="1:10">
      <c r="A87" s="172"/>
      <c r="B87" s="4" t="s">
        <v>6</v>
      </c>
      <c r="C87" s="37">
        <v>4.4075000000000001E-5</v>
      </c>
      <c r="D87" s="5" t="s">
        <v>24</v>
      </c>
      <c r="E87" s="121">
        <f t="shared" si="6"/>
        <v>0</v>
      </c>
      <c r="F87" s="121">
        <f t="shared" si="7"/>
        <v>0</v>
      </c>
      <c r="G87" s="159"/>
      <c r="I87" s="138" t="s">
        <v>144</v>
      </c>
      <c r="J87" s="10"/>
    </row>
    <row r="88" spans="1:10" s="11" customFormat="1">
      <c r="A88" s="172"/>
      <c r="B88" s="5" t="s">
        <v>7</v>
      </c>
      <c r="C88" s="37"/>
      <c r="D88" s="5" t="s">
        <v>24</v>
      </c>
      <c r="E88" s="121">
        <f t="shared" si="6"/>
        <v>0</v>
      </c>
      <c r="F88" s="121">
        <f t="shared" si="7"/>
        <v>0</v>
      </c>
      <c r="G88" s="159"/>
      <c r="H88" s="22"/>
      <c r="I88" s="138" t="s">
        <v>145</v>
      </c>
      <c r="J88" s="10"/>
    </row>
    <row r="89" spans="1:10" s="22" customFormat="1">
      <c r="A89" s="172"/>
      <c r="B89" s="5" t="s">
        <v>15</v>
      </c>
      <c r="C89" s="5">
        <v>0.40388000000000002</v>
      </c>
      <c r="D89" s="5" t="s">
        <v>24</v>
      </c>
      <c r="E89" s="121">
        <f t="shared" si="6"/>
        <v>0</v>
      </c>
      <c r="F89" s="121">
        <f t="shared" si="7"/>
        <v>0</v>
      </c>
      <c r="G89" s="159"/>
      <c r="I89" s="138" t="s">
        <v>146</v>
      </c>
      <c r="J89" s="10"/>
    </row>
    <row r="90" spans="1:10" s="22" customFormat="1">
      <c r="A90" s="172"/>
      <c r="B90" s="32" t="s">
        <v>19</v>
      </c>
      <c r="C90" s="5">
        <v>7.6151</v>
      </c>
      <c r="D90" s="5" t="s">
        <v>24</v>
      </c>
      <c r="E90" s="121">
        <f t="shared" si="6"/>
        <v>0</v>
      </c>
      <c r="F90" s="121">
        <f t="shared" si="7"/>
        <v>0</v>
      </c>
      <c r="G90" s="160"/>
      <c r="I90" s="138" t="s">
        <v>147</v>
      </c>
      <c r="J90" s="10"/>
    </row>
    <row r="91" spans="1:10" s="22" customFormat="1" ht="15" customHeight="1">
      <c r="A91"/>
      <c r="B91" s="2"/>
      <c r="C91"/>
      <c r="D91" s="60"/>
      <c r="E91"/>
      <c r="F91"/>
      <c r="G91"/>
      <c r="I91" s="10"/>
      <c r="J91" s="10"/>
    </row>
    <row r="92" spans="1:10" s="22" customFormat="1" ht="17">
      <c r="A92" s="181" t="s">
        <v>119</v>
      </c>
      <c r="B92" s="182"/>
      <c r="C92" s="130">
        <f>C93/E226</f>
        <v>0</v>
      </c>
      <c r="D92"/>
      <c r="E92" s="9" t="s">
        <v>27</v>
      </c>
      <c r="F92">
        <v>17.260000000000002</v>
      </c>
      <c r="G92" t="s">
        <v>24</v>
      </c>
      <c r="I92" s="139" t="s">
        <v>123</v>
      </c>
      <c r="J92" s="10" t="s">
        <v>85</v>
      </c>
    </row>
    <row r="93" spans="1:10" s="22" customFormat="1">
      <c r="A93" s="181" t="s">
        <v>86</v>
      </c>
      <c r="B93" s="182"/>
      <c r="C93" s="130">
        <f>D77*F92</f>
        <v>0</v>
      </c>
      <c r="D93"/>
      <c r="E93"/>
      <c r="F93"/>
      <c r="G93"/>
      <c r="I93" s="102"/>
    </row>
    <row r="94" spans="1:10" s="22" customFormat="1">
      <c r="A94" s="181" t="s">
        <v>31</v>
      </c>
      <c r="B94" s="182"/>
      <c r="C94" s="142">
        <f>lcd_weight_2/(other_weight_2 + hdd_weight_2 + image_weight_2 + mobile_weight_2 + lcd_weight_2 + ds_weight_2 + crt_weight_2 + laptop_weight_2)</f>
        <v>0</v>
      </c>
      <c r="D94"/>
      <c r="E94"/>
      <c r="F94"/>
      <c r="G94"/>
      <c r="I94" s="102" t="s">
        <v>132</v>
      </c>
    </row>
    <row r="95" spans="1:10" s="22" customFormat="1" ht="15" customHeight="1">
      <c r="A95" s="176" t="s">
        <v>108</v>
      </c>
      <c r="B95" s="177"/>
      <c r="C95" s="130">
        <f>SUM(E81:E84)</f>
        <v>0</v>
      </c>
      <c r="D95" s="8"/>
      <c r="E95" s="7"/>
      <c r="F95" s="7"/>
      <c r="G95"/>
      <c r="I95" s="99" t="s">
        <v>113</v>
      </c>
    </row>
    <row r="96" spans="1:10">
      <c r="A96" s="178" t="s">
        <v>109</v>
      </c>
      <c r="B96" s="179"/>
      <c r="C96" s="130">
        <f>SUM(F81:F84)</f>
        <v>0</v>
      </c>
      <c r="I96" s="99"/>
    </row>
    <row r="97" spans="1:9">
      <c r="A97" s="69"/>
      <c r="B97" s="70" t="s">
        <v>74</v>
      </c>
      <c r="C97" s="128">
        <f>E79+E80</f>
        <v>0</v>
      </c>
      <c r="I97" s="99" t="s">
        <v>114</v>
      </c>
    </row>
    <row r="98" spans="1:9">
      <c r="B98" s="70" t="s">
        <v>73</v>
      </c>
      <c r="C98" s="128">
        <f>F79+F80</f>
        <v>0</v>
      </c>
      <c r="I98" s="10"/>
    </row>
    <row r="99" spans="1:9" ht="15" customHeight="1">
      <c r="I99" s="10"/>
    </row>
    <row r="100" spans="1:9" ht="21">
      <c r="A100" s="180" t="s">
        <v>4</v>
      </c>
      <c r="B100" s="180"/>
      <c r="C100" s="180"/>
      <c r="D100" s="180"/>
      <c r="E100" s="180"/>
      <c r="F100" s="50"/>
      <c r="G100" s="11"/>
      <c r="H100" s="17"/>
      <c r="I100" s="99"/>
    </row>
    <row r="101" spans="1:9" ht="21">
      <c r="A101" s="49"/>
      <c r="B101" s="77" t="s">
        <v>115</v>
      </c>
      <c r="C101" s="83"/>
      <c r="D101" s="82">
        <v>1</v>
      </c>
      <c r="E101" s="50"/>
      <c r="F101" s="50"/>
      <c r="G101" s="22"/>
      <c r="I101" s="10"/>
    </row>
    <row r="102" spans="1:9" ht="15" customHeight="1">
      <c r="A102" s="34" t="s">
        <v>0</v>
      </c>
      <c r="B102" s="34" t="s">
        <v>3</v>
      </c>
      <c r="C102" s="34" t="s">
        <v>1</v>
      </c>
      <c r="D102" s="34" t="s">
        <v>2</v>
      </c>
      <c r="E102" s="34" t="s">
        <v>22</v>
      </c>
      <c r="F102" s="44" t="s">
        <v>26</v>
      </c>
      <c r="I102" s="10"/>
    </row>
    <row r="103" spans="1:9">
      <c r="A103" s="161" t="s">
        <v>21</v>
      </c>
      <c r="B103" s="32" t="s">
        <v>70</v>
      </c>
      <c r="C103" s="103">
        <v>2.99364E-5</v>
      </c>
      <c r="D103" s="67" t="s">
        <v>72</v>
      </c>
      <c r="E103" s="121">
        <f t="shared" ref="E103:E114" si="8">F103/$E$226</f>
        <v>7.6039091565733088E-2</v>
      </c>
      <c r="F103" s="122">
        <f>C103*mobile_kg*C199</f>
        <v>3.4490723621484004E-2</v>
      </c>
      <c r="I103" s="138" t="s">
        <v>111</v>
      </c>
    </row>
    <row r="104" spans="1:9" ht="15" customHeight="1">
      <c r="A104" s="162"/>
      <c r="B104" s="32" t="s">
        <v>136</v>
      </c>
      <c r="C104" s="5"/>
      <c r="D104" s="67"/>
      <c r="E104" s="121">
        <f t="shared" si="8"/>
        <v>2.013468554560045</v>
      </c>
      <c r="F104" s="121">
        <f>(C201*F113+C202*F112+C203*F111+C204*F110+C205*F109+C206*F114)*1000</f>
        <v>0.91329322859999995</v>
      </c>
      <c r="G104" s="158" t="s">
        <v>57</v>
      </c>
      <c r="I104" s="138" t="s">
        <v>112</v>
      </c>
    </row>
    <row r="105" spans="1:9">
      <c r="A105" s="184" t="s">
        <v>79</v>
      </c>
      <c r="B105" s="4" t="s">
        <v>16</v>
      </c>
      <c r="C105" s="5">
        <f>0.339/1000</f>
        <v>3.39E-4</v>
      </c>
      <c r="D105" s="5" t="s">
        <v>24</v>
      </c>
      <c r="E105" s="121">
        <f t="shared" si="8"/>
        <v>7.4736767844230058E-4</v>
      </c>
      <c r="F105" s="121">
        <f t="shared" ref="F105:F114" si="9">mobile_count*C105</f>
        <v>3.39E-4</v>
      </c>
      <c r="G105" s="159"/>
      <c r="I105" s="138" t="s">
        <v>138</v>
      </c>
    </row>
    <row r="106" spans="1:9">
      <c r="A106" s="184"/>
      <c r="B106" s="4" t="s">
        <v>17</v>
      </c>
      <c r="C106" s="5">
        <f>0.00004/1000</f>
        <v>4.0000000000000001E-8</v>
      </c>
      <c r="D106" s="5" t="s">
        <v>24</v>
      </c>
      <c r="E106" s="121">
        <f t="shared" si="8"/>
        <v>8.8184976807351106E-8</v>
      </c>
      <c r="F106" s="121">
        <f t="shared" si="9"/>
        <v>4.0000000000000001E-8</v>
      </c>
      <c r="G106" s="159"/>
      <c r="I106" s="138" t="s">
        <v>139</v>
      </c>
    </row>
    <row r="107" spans="1:9">
      <c r="A107" s="184"/>
      <c r="B107" s="4" t="s">
        <v>18</v>
      </c>
      <c r="C107" s="5">
        <f>0.0003/1000</f>
        <v>2.9999999999999999E-7</v>
      </c>
      <c r="D107" s="5" t="s">
        <v>24</v>
      </c>
      <c r="E107" s="121">
        <f t="shared" si="8"/>
        <v>6.6138732605513317E-7</v>
      </c>
      <c r="F107" s="121">
        <f t="shared" si="9"/>
        <v>2.9999999999999999E-7</v>
      </c>
      <c r="G107" s="159"/>
      <c r="I107" s="138" t="s">
        <v>140</v>
      </c>
    </row>
    <row r="108" spans="1:9">
      <c r="A108" s="184"/>
      <c r="B108" s="4" t="s">
        <v>14</v>
      </c>
      <c r="C108" s="5">
        <v>2.4967300000000001E-6</v>
      </c>
      <c r="D108" s="5"/>
      <c r="E108" s="121">
        <f t="shared" si="8"/>
        <v>5.5043519286054434E-6</v>
      </c>
      <c r="F108" s="121">
        <f t="shared" si="9"/>
        <v>2.4967300000000001E-6</v>
      </c>
      <c r="G108" s="160"/>
      <c r="I108" s="138" t="s">
        <v>141</v>
      </c>
    </row>
    <row r="109" spans="1:9" s="11" customFormat="1">
      <c r="A109" s="172" t="s">
        <v>20</v>
      </c>
      <c r="B109" s="33" t="s">
        <v>8</v>
      </c>
      <c r="C109" s="5">
        <v>1.6E-2</v>
      </c>
      <c r="D109" s="5" t="s">
        <v>24</v>
      </c>
      <c r="E109" s="121">
        <f t="shared" si="8"/>
        <v>3.5273990722940442E-2</v>
      </c>
      <c r="F109" s="121">
        <f t="shared" si="9"/>
        <v>1.6E-2</v>
      </c>
      <c r="G109" s="158" t="s">
        <v>23</v>
      </c>
      <c r="H109" s="22"/>
      <c r="I109" s="138" t="s">
        <v>142</v>
      </c>
    </row>
    <row r="110" spans="1:9" s="22" customFormat="1">
      <c r="A110" s="172"/>
      <c r="B110" s="33" t="s">
        <v>9</v>
      </c>
      <c r="C110" s="5">
        <v>3.4E-5</v>
      </c>
      <c r="D110" s="5" t="s">
        <v>24</v>
      </c>
      <c r="E110" s="121">
        <f t="shared" si="8"/>
        <v>7.4957230286248438E-5</v>
      </c>
      <c r="F110" s="121">
        <f t="shared" si="9"/>
        <v>3.4E-5</v>
      </c>
      <c r="G110" s="159"/>
      <c r="I110" s="138" t="s">
        <v>143</v>
      </c>
    </row>
    <row r="111" spans="1:9">
      <c r="A111" s="172"/>
      <c r="B111" s="4" t="s">
        <v>6</v>
      </c>
      <c r="C111" s="5">
        <v>3.3999999999999997E-7</v>
      </c>
      <c r="D111" s="5" t="s">
        <v>24</v>
      </c>
      <c r="E111" s="121">
        <f t="shared" si="8"/>
        <v>7.495723028624843E-7</v>
      </c>
      <c r="F111" s="121">
        <f t="shared" si="9"/>
        <v>3.3999999999999997E-7</v>
      </c>
      <c r="G111" s="159"/>
      <c r="I111" s="138" t="s">
        <v>144</v>
      </c>
    </row>
    <row r="112" spans="1:9" ht="15" customHeight="1">
      <c r="A112" s="172"/>
      <c r="B112" s="5" t="s">
        <v>7</v>
      </c>
      <c r="C112" s="5">
        <v>1.5E-5</v>
      </c>
      <c r="D112" s="5" t="s">
        <v>24</v>
      </c>
      <c r="E112" s="121">
        <f t="shared" si="8"/>
        <v>3.3069366302756666E-5</v>
      </c>
      <c r="F112" s="121">
        <f t="shared" si="9"/>
        <v>1.5E-5</v>
      </c>
      <c r="G112" s="159"/>
      <c r="I112" s="138" t="s">
        <v>145</v>
      </c>
    </row>
    <row r="113" spans="1:9">
      <c r="A113" s="172"/>
      <c r="B113" s="5" t="s">
        <v>15</v>
      </c>
      <c r="C113" s="5">
        <v>1.1299999999999999E-3</v>
      </c>
      <c r="D113" s="5" t="s">
        <v>24</v>
      </c>
      <c r="E113" s="121">
        <f t="shared" si="8"/>
        <v>2.4912255948076685E-3</v>
      </c>
      <c r="F113" s="121">
        <f t="shared" si="9"/>
        <v>1.1299999999999999E-3</v>
      </c>
      <c r="G113" s="159"/>
      <c r="I113" s="138" t="s">
        <v>146</v>
      </c>
    </row>
    <row r="114" spans="1:9">
      <c r="A114" s="172"/>
      <c r="B114" s="32" t="s">
        <v>19</v>
      </c>
      <c r="C114" s="5">
        <v>2.7200000000000002E-3</v>
      </c>
      <c r="D114" s="5" t="s">
        <v>24</v>
      </c>
      <c r="E114" s="121">
        <f t="shared" si="8"/>
        <v>5.9965784228998755E-3</v>
      </c>
      <c r="F114" s="121">
        <f t="shared" si="9"/>
        <v>2.7200000000000002E-3</v>
      </c>
      <c r="G114" s="160"/>
      <c r="I114" s="138" t="s">
        <v>147</v>
      </c>
    </row>
    <row r="115" spans="1:9">
      <c r="A115" s="35"/>
      <c r="B115" s="11"/>
      <c r="C115" s="11"/>
      <c r="D115" s="11"/>
      <c r="E115" s="11"/>
      <c r="F115" s="11"/>
      <c r="I115" s="10"/>
    </row>
    <row r="116" spans="1:9" ht="15" customHeight="1">
      <c r="A116" s="181" t="s">
        <v>120</v>
      </c>
      <c r="B116" s="182"/>
      <c r="C116" s="130">
        <f>C117/E226</f>
        <v>0.24912255948076686</v>
      </c>
      <c r="E116" s="9" t="s">
        <v>27</v>
      </c>
      <c r="F116">
        <v>0.113</v>
      </c>
      <c r="G116" t="s">
        <v>24</v>
      </c>
      <c r="I116" s="139" t="s">
        <v>123</v>
      </c>
    </row>
    <row r="117" spans="1:9" ht="15" customHeight="1">
      <c r="A117" s="181" t="s">
        <v>32</v>
      </c>
      <c r="B117" s="182"/>
      <c r="C117" s="130">
        <f>D101*F116</f>
        <v>0.113</v>
      </c>
      <c r="E117" s="9"/>
      <c r="I117" s="102"/>
    </row>
    <row r="118" spans="1:9">
      <c r="A118" s="181" t="s">
        <v>31</v>
      </c>
      <c r="B118" s="182"/>
      <c r="C118" s="142">
        <f>mobile_weight_2/(other_weight_2 + hdd_weight_2 + image_weight_2 + mobile_weight_2 + lcd_weight_2 + ds_weight_2 + crt_weight_2 + laptop_weight_2)</f>
        <v>1.8138565801259103E-4</v>
      </c>
      <c r="E118" s="9"/>
      <c r="I118" s="102" t="s">
        <v>132</v>
      </c>
    </row>
    <row r="119" spans="1:9">
      <c r="A119" s="176" t="s">
        <v>108</v>
      </c>
      <c r="B119" s="177"/>
      <c r="C119" s="130">
        <f>SUM(E105:E108)</f>
        <v>7.5362160267376853E-4</v>
      </c>
      <c r="D119" s="8"/>
      <c r="E119" s="7"/>
      <c r="F119" s="7"/>
      <c r="I119" s="99" t="s">
        <v>113</v>
      </c>
    </row>
    <row r="120" spans="1:9">
      <c r="A120" s="178" t="s">
        <v>109</v>
      </c>
      <c r="B120" s="179"/>
      <c r="C120" s="130">
        <f>SUM(F105:F108)</f>
        <v>3.4183672999999999E-4</v>
      </c>
      <c r="I120" s="99"/>
    </row>
    <row r="121" spans="1:9">
      <c r="A121" s="69"/>
      <c r="B121" s="70" t="s">
        <v>74</v>
      </c>
      <c r="C121" s="128">
        <f>E103+E104</f>
        <v>2.089507646125778</v>
      </c>
      <c r="I121" s="99" t="s">
        <v>114</v>
      </c>
    </row>
    <row r="122" spans="1:9" ht="15" customHeight="1">
      <c r="B122" s="70" t="s">
        <v>73</v>
      </c>
      <c r="C122" s="128">
        <f>F103+F104</f>
        <v>0.94778395222148393</v>
      </c>
      <c r="I122" s="10"/>
    </row>
    <row r="123" spans="1:9" ht="15" customHeight="1">
      <c r="A123" s="28"/>
      <c r="B123" s="26"/>
      <c r="C123" s="27"/>
      <c r="D123" s="25"/>
      <c r="E123" s="25"/>
      <c r="F123" s="25"/>
      <c r="G123" s="25"/>
      <c r="I123" s="10"/>
    </row>
    <row r="124" spans="1:9" ht="21">
      <c r="A124" s="185" t="s">
        <v>64</v>
      </c>
      <c r="B124" s="185"/>
      <c r="C124" s="185"/>
      <c r="D124" s="185"/>
      <c r="E124" s="185"/>
      <c r="F124" s="51"/>
      <c r="G124" s="25"/>
      <c r="H124" s="17"/>
      <c r="I124" s="10" t="s">
        <v>90</v>
      </c>
    </row>
    <row r="125" spans="1:9" ht="21">
      <c r="A125" s="51"/>
      <c r="B125" s="77" t="s">
        <v>115</v>
      </c>
      <c r="C125" s="83"/>
      <c r="D125" s="82">
        <v>1</v>
      </c>
      <c r="E125" s="51"/>
      <c r="F125" s="51"/>
      <c r="G125" s="52"/>
      <c r="I125" s="10"/>
    </row>
    <row r="126" spans="1:9">
      <c r="A126" s="34" t="s">
        <v>0</v>
      </c>
      <c r="B126" s="34" t="s">
        <v>3</v>
      </c>
      <c r="C126" s="34" t="s">
        <v>1</v>
      </c>
      <c r="D126" s="34" t="s">
        <v>2</v>
      </c>
      <c r="E126" s="34" t="s">
        <v>22</v>
      </c>
      <c r="F126" s="44" t="s">
        <v>26</v>
      </c>
      <c r="I126" s="10"/>
    </row>
    <row r="127" spans="1:9">
      <c r="A127" s="161" t="s">
        <v>21</v>
      </c>
      <c r="B127" s="32" t="s">
        <v>70</v>
      </c>
      <c r="C127" s="103">
        <v>2.99364E-5</v>
      </c>
      <c r="D127" s="67" t="s">
        <v>72</v>
      </c>
      <c r="E127" s="121">
        <f t="shared" ref="E127:E138" si="10">F127/$E$226</f>
        <v>25.813229237934998</v>
      </c>
      <c r="F127" s="122">
        <f>C127*C140*C199</f>
        <v>11.708674276493412</v>
      </c>
      <c r="I127" s="138" t="s">
        <v>111</v>
      </c>
    </row>
    <row r="128" spans="1:9" ht="16" customHeight="1">
      <c r="A128" s="162"/>
      <c r="B128" s="32" t="s">
        <v>136</v>
      </c>
      <c r="C128" s="5"/>
      <c r="D128" s="67"/>
      <c r="E128" s="144">
        <f t="shared" si="10"/>
        <v>25.293676912502864</v>
      </c>
      <c r="F128" s="121">
        <f>(C201*F137+C202*F136+C203*F135+C204*F134+C205*F133+C206*F138)*1000</f>
        <v>11.473009498095999</v>
      </c>
      <c r="G128" s="158" t="s">
        <v>57</v>
      </c>
      <c r="I128" s="138" t="s">
        <v>112</v>
      </c>
    </row>
    <row r="129" spans="1:9">
      <c r="A129" s="184" t="s">
        <v>79</v>
      </c>
      <c r="B129" s="4" t="s">
        <v>16</v>
      </c>
      <c r="C129" s="5">
        <v>2.6599999999999999E-2</v>
      </c>
      <c r="D129" s="5" t="s">
        <v>24</v>
      </c>
      <c r="E129" s="121">
        <f t="shared" si="10"/>
        <v>5.8643009576888477E-2</v>
      </c>
      <c r="F129" s="121">
        <f>$D$125*C129</f>
        <v>2.6599999999999999E-2</v>
      </c>
      <c r="G129" s="159"/>
      <c r="I129" s="138" t="s">
        <v>138</v>
      </c>
    </row>
    <row r="130" spans="1:9" s="11" customFormat="1">
      <c r="A130" s="184"/>
      <c r="B130" s="4" t="s">
        <v>17</v>
      </c>
      <c r="C130" s="5"/>
      <c r="D130" s="5"/>
      <c r="E130" s="121">
        <f t="shared" si="10"/>
        <v>0</v>
      </c>
      <c r="F130" s="121">
        <f t="shared" ref="F130:F138" si="11">$D$125*C130</f>
        <v>0</v>
      </c>
      <c r="G130" s="159"/>
      <c r="H130" s="22"/>
      <c r="I130" s="138" t="s">
        <v>139</v>
      </c>
    </row>
    <row r="131" spans="1:9" s="22" customFormat="1">
      <c r="A131" s="184"/>
      <c r="B131" s="4" t="s">
        <v>18</v>
      </c>
      <c r="C131" s="5">
        <v>1.3027399999999999E-4</v>
      </c>
      <c r="D131" s="5" t="s">
        <v>24</v>
      </c>
      <c r="E131" s="121">
        <f t="shared" si="10"/>
        <v>2.8720524171502144E-4</v>
      </c>
      <c r="F131" s="121">
        <f t="shared" si="11"/>
        <v>1.3027399999999999E-4</v>
      </c>
      <c r="G131" s="159"/>
      <c r="I131" s="138" t="s">
        <v>140</v>
      </c>
    </row>
    <row r="132" spans="1:9" ht="16" customHeight="1">
      <c r="A132" s="184"/>
      <c r="B132" s="4" t="s">
        <v>14</v>
      </c>
      <c r="C132" s="5">
        <v>1.19364E-4</v>
      </c>
      <c r="D132" s="5" t="s">
        <v>24</v>
      </c>
      <c r="E132" s="121">
        <f t="shared" si="10"/>
        <v>2.6315278929081641E-4</v>
      </c>
      <c r="F132" s="121">
        <f t="shared" si="11"/>
        <v>1.19364E-4</v>
      </c>
      <c r="G132" s="160"/>
      <c r="I132" s="138" t="s">
        <v>141</v>
      </c>
    </row>
    <row r="133" spans="1:9" ht="15" customHeight="1">
      <c r="A133" s="172" t="s">
        <v>20</v>
      </c>
      <c r="B133" s="33" t="s">
        <v>8</v>
      </c>
      <c r="C133" s="5">
        <v>1.0266</v>
      </c>
      <c r="D133" s="5" t="s">
        <v>24</v>
      </c>
      <c r="E133" s="121">
        <f t="shared" si="10"/>
        <v>2.2632674297606661</v>
      </c>
      <c r="F133" s="121">
        <f t="shared" si="11"/>
        <v>1.0266</v>
      </c>
      <c r="G133" s="163" t="s">
        <v>23</v>
      </c>
      <c r="I133" s="138" t="s">
        <v>142</v>
      </c>
    </row>
    <row r="134" spans="1:9">
      <c r="A134" s="172"/>
      <c r="B134" s="33" t="s">
        <v>9</v>
      </c>
      <c r="C134" s="5">
        <v>6.1613399999999995E-5</v>
      </c>
      <c r="D134" s="5" t="s">
        <v>24</v>
      </c>
      <c r="E134" s="121">
        <f t="shared" si="10"/>
        <v>1.3583440625055114E-4</v>
      </c>
      <c r="F134" s="121">
        <f t="shared" si="11"/>
        <v>6.1613399999999995E-5</v>
      </c>
      <c r="G134" s="163"/>
      <c r="I134" s="138" t="s">
        <v>143</v>
      </c>
    </row>
    <row r="135" spans="1:9">
      <c r="A135" s="172"/>
      <c r="B135" s="4" t="s">
        <v>6</v>
      </c>
      <c r="C135" s="5">
        <v>3.7514400000000001E-5</v>
      </c>
      <c r="D135" s="5" t="s">
        <v>24</v>
      </c>
      <c r="E135" s="121">
        <f t="shared" si="10"/>
        <v>8.2705162348542299E-5</v>
      </c>
      <c r="F135" s="121">
        <f t="shared" si="11"/>
        <v>3.7514400000000001E-5</v>
      </c>
      <c r="G135" s="163"/>
      <c r="I135" s="138" t="s">
        <v>144</v>
      </c>
    </row>
    <row r="136" spans="1:9" ht="15" customHeight="1">
      <c r="A136" s="172"/>
      <c r="B136" s="5" t="s">
        <v>7</v>
      </c>
      <c r="C136" s="5">
        <v>2.4702799999999999E-4</v>
      </c>
      <c r="D136" s="5" t="s">
        <v>24</v>
      </c>
      <c r="E136" s="121">
        <f t="shared" si="10"/>
        <v>5.4460396126915819E-4</v>
      </c>
      <c r="F136" s="121">
        <f t="shared" si="11"/>
        <v>2.4702799999999999E-4</v>
      </c>
      <c r="G136" s="163"/>
      <c r="I136" s="138" t="s">
        <v>145</v>
      </c>
    </row>
    <row r="137" spans="1:9" ht="15" customHeight="1">
      <c r="A137" s="172"/>
      <c r="B137" s="5" t="s">
        <v>15</v>
      </c>
      <c r="C137" s="5">
        <v>0.35972799999999999</v>
      </c>
      <c r="D137" s="5" t="s">
        <v>24</v>
      </c>
      <c r="E137" s="121">
        <f t="shared" si="10"/>
        <v>0.79306513342386986</v>
      </c>
      <c r="F137" s="121">
        <f t="shared" si="11"/>
        <v>0.35972799999999999</v>
      </c>
      <c r="G137" s="163"/>
      <c r="I137" s="138" t="s">
        <v>146</v>
      </c>
    </row>
    <row r="138" spans="1:9">
      <c r="A138" s="172"/>
      <c r="B138" s="32" t="s">
        <v>19</v>
      </c>
      <c r="C138" s="5"/>
      <c r="D138" s="5"/>
      <c r="E138" s="121">
        <f t="shared" si="10"/>
        <v>0</v>
      </c>
      <c r="F138" s="121">
        <f t="shared" si="11"/>
        <v>0</v>
      </c>
      <c r="G138" s="158"/>
      <c r="I138" s="138" t="s">
        <v>147</v>
      </c>
    </row>
    <row r="139" spans="1:9">
      <c r="A139" s="21"/>
      <c r="B139" s="11"/>
      <c r="C139" s="11"/>
      <c r="D139" s="11"/>
      <c r="E139" s="11"/>
      <c r="F139" s="11"/>
      <c r="G139" s="53"/>
      <c r="I139" s="10"/>
    </row>
    <row r="140" spans="1:9" ht="15" customHeight="1">
      <c r="A140" s="181" t="s">
        <v>121</v>
      </c>
      <c r="B140" s="182"/>
      <c r="C140" s="131">
        <f>C141/E226</f>
        <v>38.360464911197724</v>
      </c>
      <c r="E140" s="9" t="s">
        <v>28</v>
      </c>
      <c r="F140" s="24">
        <v>17.399999999999999</v>
      </c>
      <c r="G140" t="s">
        <v>154</v>
      </c>
      <c r="I140" s="139" t="s">
        <v>123</v>
      </c>
    </row>
    <row r="141" spans="1:9">
      <c r="A141" s="181" t="s">
        <v>65</v>
      </c>
      <c r="B141" s="182"/>
      <c r="C141" s="131">
        <f>D125*F140</f>
        <v>17.399999999999999</v>
      </c>
      <c r="D141" s="9"/>
      <c r="E141" s="24"/>
      <c r="F141" s="43"/>
      <c r="I141" s="102"/>
    </row>
    <row r="142" spans="1:9">
      <c r="A142" s="181" t="s">
        <v>31</v>
      </c>
      <c r="B142" s="182"/>
      <c r="C142" s="143">
        <f>image_weight_2/(other_weight_2 + hdd_weight_2 + image_weight_2 + mobile_weight_2 + lcd_weight_2 + ds_weight_2 + crt_weight_2 + laptop_weight_2)</f>
        <v>2.7930180968310472E-2</v>
      </c>
      <c r="D142" s="9"/>
      <c r="E142" s="24"/>
      <c r="F142" s="43"/>
      <c r="I142" s="102" t="s">
        <v>132</v>
      </c>
    </row>
    <row r="143" spans="1:9">
      <c r="A143" s="176" t="s">
        <v>108</v>
      </c>
      <c r="B143" s="177"/>
      <c r="C143" s="131">
        <f>SUM(E129:E132)</f>
        <v>5.9193367607894315E-2</v>
      </c>
      <c r="D143" s="8"/>
      <c r="E143" s="8"/>
      <c r="F143" s="8"/>
      <c r="I143" s="99" t="s">
        <v>113</v>
      </c>
    </row>
    <row r="144" spans="1:9" ht="15" customHeight="1">
      <c r="A144" s="178" t="s">
        <v>109</v>
      </c>
      <c r="B144" s="179"/>
      <c r="C144" s="131">
        <f>SUM(F129:F132)</f>
        <v>2.6849637999999999E-2</v>
      </c>
      <c r="D144" s="8"/>
      <c r="E144" s="8"/>
      <c r="F144" s="8"/>
      <c r="I144" s="99"/>
    </row>
    <row r="145" spans="1:9">
      <c r="A145" s="69"/>
      <c r="B145" s="70" t="s">
        <v>74</v>
      </c>
      <c r="C145" s="128">
        <f>E128+E127</f>
        <v>51.106906150437865</v>
      </c>
      <c r="D145" s="8"/>
      <c r="E145" s="8"/>
      <c r="F145" s="8"/>
      <c r="I145" s="99" t="s">
        <v>114</v>
      </c>
    </row>
    <row r="146" spans="1:9">
      <c r="A146" s="9"/>
      <c r="B146" s="70" t="s">
        <v>73</v>
      </c>
      <c r="C146" s="128">
        <f>F128+F127</f>
        <v>23.181683774589409</v>
      </c>
      <c r="D146" s="8"/>
      <c r="E146" s="8"/>
      <c r="F146" s="8"/>
      <c r="I146" s="10"/>
    </row>
    <row r="147" spans="1:9">
      <c r="A147" s="1"/>
      <c r="C147" s="8"/>
      <c r="D147" s="24"/>
      <c r="E147" s="24"/>
      <c r="F147" s="24"/>
      <c r="I147" s="10"/>
    </row>
    <row r="148" spans="1:9" ht="21">
      <c r="A148" s="185" t="s">
        <v>149</v>
      </c>
      <c r="B148" s="185"/>
      <c r="C148" s="185"/>
      <c r="D148" s="185"/>
      <c r="E148" s="185"/>
      <c r="F148" s="51"/>
      <c r="G148" s="25"/>
      <c r="H148" s="17"/>
      <c r="I148" s="10" t="s">
        <v>88</v>
      </c>
    </row>
    <row r="149" spans="1:9" ht="21">
      <c r="A149" s="51"/>
      <c r="B149" s="77" t="s">
        <v>115</v>
      </c>
      <c r="C149" s="83"/>
      <c r="D149" s="82">
        <v>1000</v>
      </c>
      <c r="E149" s="51"/>
      <c r="F149" s="51"/>
      <c r="G149" s="52"/>
      <c r="I149" s="10"/>
    </row>
    <row r="150" spans="1:9">
      <c r="A150" s="34" t="s">
        <v>0</v>
      </c>
      <c r="B150" s="34" t="s">
        <v>3</v>
      </c>
      <c r="C150" s="34" t="s">
        <v>1</v>
      </c>
      <c r="D150" s="34" t="s">
        <v>2</v>
      </c>
      <c r="E150" s="34" t="s">
        <v>22</v>
      </c>
      <c r="F150" s="44" t="s">
        <v>26</v>
      </c>
      <c r="I150" s="10"/>
    </row>
    <row r="151" spans="1:9" s="11" customFormat="1">
      <c r="A151" s="161" t="s">
        <v>21</v>
      </c>
      <c r="B151" s="32" t="s">
        <v>70</v>
      </c>
      <c r="C151" s="103">
        <v>2.99364E-5</v>
      </c>
      <c r="D151" s="67" t="s">
        <v>72</v>
      </c>
      <c r="E151" s="121">
        <f>F151/$E$226</f>
        <v>841.14039342625108</v>
      </c>
      <c r="F151" s="121">
        <f>C151*C164*C199</f>
        <v>381.53455333500006</v>
      </c>
      <c r="G151" s="163" t="s">
        <v>57</v>
      </c>
      <c r="H151" s="22"/>
      <c r="I151" s="138" t="s">
        <v>111</v>
      </c>
    </row>
    <row r="152" spans="1:9" s="22" customFormat="1" ht="20" customHeight="1">
      <c r="A152" s="162"/>
      <c r="B152" s="32" t="s">
        <v>136</v>
      </c>
      <c r="C152" s="5"/>
      <c r="D152" s="67"/>
      <c r="E152" s="121">
        <f t="shared" ref="E152:E162" si="12">F152/$E$226</f>
        <v>1009.2887141249997</v>
      </c>
      <c r="F152" s="126">
        <f>(C178*F161+C179*F160+C180*F159+C181*F158+C182*F157+C183*F162)*1000</f>
        <v>457.80528641738687</v>
      </c>
      <c r="G152" s="163"/>
      <c r="I152" s="138" t="s">
        <v>112</v>
      </c>
    </row>
    <row r="153" spans="1:9">
      <c r="A153" s="184" t="s">
        <v>79</v>
      </c>
      <c r="B153" s="4" t="s">
        <v>16</v>
      </c>
      <c r="C153" s="5"/>
      <c r="D153" s="5"/>
      <c r="E153" s="121">
        <f t="shared" si="12"/>
        <v>0</v>
      </c>
      <c r="F153" s="121">
        <f t="shared" ref="F153:F156" si="13">other_count*C153</f>
        <v>0</v>
      </c>
      <c r="G153" s="163"/>
      <c r="I153" s="138" t="s">
        <v>138</v>
      </c>
    </row>
    <row r="154" spans="1:9" ht="15" customHeight="1">
      <c r="A154" s="184"/>
      <c r="B154" s="4" t="s">
        <v>17</v>
      </c>
      <c r="C154" s="5"/>
      <c r="D154" s="5"/>
      <c r="E154" s="121">
        <f t="shared" si="12"/>
        <v>0</v>
      </c>
      <c r="F154" s="121">
        <f t="shared" si="13"/>
        <v>0</v>
      </c>
      <c r="G154" s="163"/>
      <c r="I154" s="138" t="s">
        <v>139</v>
      </c>
    </row>
    <row r="155" spans="1:9">
      <c r="A155" s="184"/>
      <c r="B155" s="4" t="s">
        <v>18</v>
      </c>
      <c r="C155" s="5"/>
      <c r="D155" s="5"/>
      <c r="E155" s="121">
        <f t="shared" si="12"/>
        <v>0</v>
      </c>
      <c r="F155" s="121">
        <f t="shared" si="13"/>
        <v>0</v>
      </c>
      <c r="G155" s="163"/>
      <c r="I155" s="138" t="s">
        <v>140</v>
      </c>
    </row>
    <row r="156" spans="1:9">
      <c r="A156" s="184"/>
      <c r="B156" s="4" t="s">
        <v>14</v>
      </c>
      <c r="C156" s="5"/>
      <c r="D156" s="5"/>
      <c r="E156" s="121">
        <f t="shared" si="12"/>
        <v>0</v>
      </c>
      <c r="F156" s="121">
        <f t="shared" si="13"/>
        <v>0</v>
      </c>
      <c r="G156" s="163"/>
      <c r="I156" s="138" t="s">
        <v>141</v>
      </c>
    </row>
    <row r="157" spans="1:9">
      <c r="A157" s="172" t="s">
        <v>20</v>
      </c>
      <c r="B157" s="33" t="s">
        <v>8</v>
      </c>
      <c r="C157" s="5">
        <f>F164*5.47%*E226</f>
        <v>3.1014352999999995E-2</v>
      </c>
      <c r="D157" s="5" t="s">
        <v>24</v>
      </c>
      <c r="E157" s="121">
        <f t="shared" si="12"/>
        <v>68.374999999999986</v>
      </c>
      <c r="F157" s="121">
        <f>D149*C157</f>
        <v>31.014352999999993</v>
      </c>
      <c r="G157" s="163" t="s">
        <v>23</v>
      </c>
      <c r="I157" s="138" t="s">
        <v>142</v>
      </c>
    </row>
    <row r="158" spans="1:9" ht="15" customHeight="1">
      <c r="A158" s="172"/>
      <c r="B158" s="33" t="s">
        <v>9</v>
      </c>
      <c r="C158" s="5">
        <f>F164*0.06%*E226</f>
        <v>3.4019399999999993E-4</v>
      </c>
      <c r="D158" s="5" t="s">
        <v>24</v>
      </c>
      <c r="E158" s="121">
        <f t="shared" si="12"/>
        <v>0.74999999999999989</v>
      </c>
      <c r="F158" s="121">
        <f>D149*C158</f>
        <v>0.34019399999999994</v>
      </c>
      <c r="G158" s="163"/>
      <c r="I158" s="138" t="s">
        <v>143</v>
      </c>
    </row>
    <row r="159" spans="1:9">
      <c r="A159" s="172"/>
      <c r="B159" s="4" t="s">
        <v>6</v>
      </c>
      <c r="C159" s="5"/>
      <c r="D159" s="5"/>
      <c r="E159" s="121">
        <f t="shared" si="12"/>
        <v>0</v>
      </c>
      <c r="F159" s="121">
        <f>D149*C159</f>
        <v>0</v>
      </c>
      <c r="G159" s="163"/>
      <c r="I159" s="138" t="s">
        <v>144</v>
      </c>
    </row>
    <row r="160" spans="1:9">
      <c r="A160" s="172"/>
      <c r="B160" s="5" t="s">
        <v>7</v>
      </c>
      <c r="C160" s="5">
        <f>F164*0.002%*E226</f>
        <v>1.1339800000000001E-5</v>
      </c>
      <c r="D160" s="5" t="s">
        <v>24</v>
      </c>
      <c r="E160" s="121">
        <f t="shared" si="12"/>
        <v>2.5000000000000001E-2</v>
      </c>
      <c r="F160" s="121">
        <f>D149*C160</f>
        <v>1.1339800000000001E-2</v>
      </c>
      <c r="G160" s="163"/>
      <c r="I160" s="138" t="s">
        <v>145</v>
      </c>
    </row>
    <row r="161" spans="1:9">
      <c r="A161" s="172"/>
      <c r="B161" s="5" t="s">
        <v>15</v>
      </c>
      <c r="C161" s="5">
        <f>F164*54.89%*E226</f>
        <v>0.31122081100000004</v>
      </c>
      <c r="D161" s="5" t="s">
        <v>24</v>
      </c>
      <c r="E161" s="121">
        <f t="shared" si="12"/>
        <v>686.12500000000011</v>
      </c>
      <c r="F161" s="121">
        <f>D149*C161</f>
        <v>311.22081100000003</v>
      </c>
      <c r="G161" s="163"/>
      <c r="I161" s="138" t="s">
        <v>146</v>
      </c>
    </row>
    <row r="162" spans="1:9">
      <c r="A162" s="172"/>
      <c r="B162" s="32" t="s">
        <v>19</v>
      </c>
      <c r="C162" s="5"/>
      <c r="D162" s="5"/>
      <c r="E162" s="121">
        <f t="shared" si="12"/>
        <v>0</v>
      </c>
      <c r="F162" s="121">
        <f>D149*C162</f>
        <v>0</v>
      </c>
      <c r="G162" s="163"/>
      <c r="I162" s="138" t="s">
        <v>147</v>
      </c>
    </row>
    <row r="163" spans="1:9">
      <c r="A163" s="21"/>
      <c r="B163" s="11"/>
      <c r="C163" s="54"/>
      <c r="D163" s="11"/>
      <c r="E163" s="123"/>
      <c r="F163" s="123"/>
      <c r="G163" s="36"/>
      <c r="I163" s="10"/>
    </row>
    <row r="164" spans="1:9" ht="17">
      <c r="A164" s="181" t="s">
        <v>152</v>
      </c>
      <c r="B164" s="182"/>
      <c r="C164" s="131">
        <f>F164*D149</f>
        <v>1250</v>
      </c>
      <c r="E164" s="150" t="s">
        <v>151</v>
      </c>
      <c r="F164" s="154">
        <v>1.25</v>
      </c>
      <c r="G164" t="s">
        <v>155</v>
      </c>
      <c r="I164" s="139" t="s">
        <v>123</v>
      </c>
    </row>
    <row r="165" spans="1:9" ht="15" customHeight="1">
      <c r="A165" s="181" t="s">
        <v>153</v>
      </c>
      <c r="B165" s="182"/>
      <c r="C165" s="131">
        <f>C164*E226</f>
        <v>566.99</v>
      </c>
      <c r="D165" s="8"/>
      <c r="E165" s="8"/>
      <c r="F165" s="8"/>
      <c r="I165" s="102"/>
    </row>
    <row r="166" spans="1:9">
      <c r="A166" s="181" t="s">
        <v>31</v>
      </c>
      <c r="B166" s="182"/>
      <c r="C166" s="143">
        <f>hdd_weight_2/(other_weight_2 + hdd_weight_2 + image_weight_2 + mobile_weight_2 + lcd_weight_2 + ds_weight_2 + crt_weight_2 + laptop_weight_2)</f>
        <v>0.91012260386335386</v>
      </c>
      <c r="D166" s="8"/>
      <c r="E166" s="8"/>
      <c r="F166" s="8"/>
      <c r="I166" s="102" t="s">
        <v>132</v>
      </c>
    </row>
    <row r="167" spans="1:9">
      <c r="A167" s="176" t="s">
        <v>108</v>
      </c>
      <c r="B167" s="177"/>
      <c r="C167" s="131">
        <f>SUM(E153:E156)</f>
        <v>0</v>
      </c>
      <c r="D167" s="8"/>
      <c r="E167" s="8"/>
      <c r="F167" s="8"/>
      <c r="I167" s="99" t="s">
        <v>113</v>
      </c>
    </row>
    <row r="168" spans="1:9">
      <c r="A168" s="178" t="s">
        <v>109</v>
      </c>
      <c r="B168" s="179"/>
      <c r="C168" s="131">
        <f>SUM(F153:F156)</f>
        <v>0</v>
      </c>
      <c r="D168" s="24"/>
      <c r="E168" s="24"/>
      <c r="F168" s="24"/>
      <c r="I168" s="99"/>
    </row>
    <row r="169" spans="1:9">
      <c r="A169" s="29"/>
      <c r="B169" s="148" t="s">
        <v>74</v>
      </c>
      <c r="C169" s="128">
        <f>E151+E152</f>
        <v>1850.4291075512508</v>
      </c>
      <c r="D169" s="17"/>
      <c r="E169" s="17"/>
      <c r="F169" s="17"/>
      <c r="I169" s="99" t="s">
        <v>114</v>
      </c>
    </row>
    <row r="170" spans="1:9">
      <c r="A170" s="29"/>
      <c r="B170" s="148" t="s">
        <v>73</v>
      </c>
      <c r="C170" s="128">
        <f>F151+F152</f>
        <v>839.33983975238698</v>
      </c>
      <c r="D170" s="17"/>
      <c r="E170" s="17"/>
      <c r="F170" s="17"/>
      <c r="I170" s="10"/>
    </row>
    <row r="171" spans="1:9">
      <c r="A171" s="29"/>
      <c r="B171" s="148"/>
      <c r="C171" s="152"/>
      <c r="D171" s="17"/>
      <c r="E171" s="17"/>
      <c r="F171" s="17"/>
      <c r="I171" s="10"/>
    </row>
    <row r="172" spans="1:9" ht="21">
      <c r="A172" s="185" t="s">
        <v>68</v>
      </c>
      <c r="B172" s="185"/>
      <c r="C172" s="185"/>
      <c r="D172" s="185"/>
      <c r="E172" s="185"/>
      <c r="F172" s="51"/>
      <c r="G172" s="25"/>
      <c r="H172" s="17"/>
      <c r="I172" s="10" t="s">
        <v>88</v>
      </c>
    </row>
    <row r="173" spans="1:9" ht="21">
      <c r="A173" s="51"/>
      <c r="B173" s="77" t="s">
        <v>115</v>
      </c>
      <c r="C173" s="83"/>
      <c r="D173" s="82">
        <v>0</v>
      </c>
      <c r="E173" s="51"/>
      <c r="F173" s="51"/>
      <c r="G173" s="52"/>
      <c r="I173" s="10"/>
    </row>
    <row r="174" spans="1:9">
      <c r="A174" s="34" t="s">
        <v>0</v>
      </c>
      <c r="B174" s="34" t="s">
        <v>3</v>
      </c>
      <c r="C174" s="34" t="s">
        <v>1</v>
      </c>
      <c r="D174" s="34" t="s">
        <v>2</v>
      </c>
      <c r="E174" s="34" t="s">
        <v>22</v>
      </c>
      <c r="F174" s="44" t="s">
        <v>26</v>
      </c>
      <c r="I174" s="10"/>
    </row>
    <row r="175" spans="1:9" s="11" customFormat="1">
      <c r="A175" s="161" t="s">
        <v>21</v>
      </c>
      <c r="B175" s="32" t="s">
        <v>70</v>
      </c>
      <c r="C175" s="103">
        <v>2.99364E-5</v>
      </c>
      <c r="D175" s="67" t="s">
        <v>72</v>
      </c>
      <c r="E175" s="121">
        <f>F175/$E$226</f>
        <v>0</v>
      </c>
      <c r="F175" s="121">
        <f>C175*other_kg*C199</f>
        <v>0</v>
      </c>
      <c r="G175" s="163" t="s">
        <v>57</v>
      </c>
      <c r="H175" s="22"/>
      <c r="I175" s="138" t="s">
        <v>111</v>
      </c>
    </row>
    <row r="176" spans="1:9" s="22" customFormat="1" ht="20" customHeight="1">
      <c r="A176" s="162"/>
      <c r="B176" s="32" t="s">
        <v>136</v>
      </c>
      <c r="C176" s="5"/>
      <c r="D176" s="67"/>
      <c r="E176" s="121">
        <f t="shared" ref="E176:E186" si="14">F176/$E$226</f>
        <v>0</v>
      </c>
      <c r="F176" s="126">
        <f>(C201*F185+C202*F184+C203*F183+C204*F182+C205*F181+C206*F186)*1000</f>
        <v>0</v>
      </c>
      <c r="G176" s="163"/>
      <c r="I176" s="138" t="s">
        <v>112</v>
      </c>
    </row>
    <row r="177" spans="1:9">
      <c r="A177" s="184" t="s">
        <v>79</v>
      </c>
      <c r="B177" s="4" t="s">
        <v>16</v>
      </c>
      <c r="C177" s="5">
        <v>4.1028599999999998E-2</v>
      </c>
      <c r="D177" s="5" t="s">
        <v>24</v>
      </c>
      <c r="E177" s="121">
        <f t="shared" si="14"/>
        <v>0</v>
      </c>
      <c r="F177" s="121">
        <f t="shared" ref="F177:F186" si="15">other_count*C177</f>
        <v>0</v>
      </c>
      <c r="G177" s="163"/>
      <c r="I177" s="138" t="s">
        <v>138</v>
      </c>
    </row>
    <row r="178" spans="1:9" ht="15" customHeight="1">
      <c r="A178" s="184"/>
      <c r="B178" s="4" t="s">
        <v>17</v>
      </c>
      <c r="C178" s="5"/>
      <c r="D178" s="5"/>
      <c r="E178" s="121">
        <f t="shared" si="14"/>
        <v>0</v>
      </c>
      <c r="F178" s="121">
        <f t="shared" si="15"/>
        <v>0</v>
      </c>
      <c r="G178" s="163"/>
      <c r="I178" s="138" t="s">
        <v>139</v>
      </c>
    </row>
    <row r="179" spans="1:9">
      <c r="A179" s="184"/>
      <c r="B179" s="4" t="s">
        <v>18</v>
      </c>
      <c r="C179" s="5"/>
      <c r="D179" s="5"/>
      <c r="E179" s="121">
        <f t="shared" si="14"/>
        <v>0</v>
      </c>
      <c r="F179" s="121">
        <f t="shared" si="15"/>
        <v>0</v>
      </c>
      <c r="G179" s="163"/>
      <c r="I179" s="138" t="s">
        <v>140</v>
      </c>
    </row>
    <row r="180" spans="1:9">
      <c r="A180" s="184"/>
      <c r="B180" s="4" t="s">
        <v>14</v>
      </c>
      <c r="C180" s="5"/>
      <c r="D180" s="5"/>
      <c r="E180" s="121">
        <f t="shared" si="14"/>
        <v>0</v>
      </c>
      <c r="F180" s="121">
        <f t="shared" si="15"/>
        <v>0</v>
      </c>
      <c r="G180" s="163"/>
      <c r="I180" s="138" t="s">
        <v>141</v>
      </c>
    </row>
    <row r="181" spans="1:9">
      <c r="A181" s="172" t="s">
        <v>20</v>
      </c>
      <c r="B181" s="33" t="s">
        <v>8</v>
      </c>
      <c r="C181" s="5">
        <f>0.061*17.7+0.259128</f>
        <v>1.3388279999999999</v>
      </c>
      <c r="D181" s="5" t="s">
        <v>24</v>
      </c>
      <c r="E181" s="121">
        <f t="shared" si="14"/>
        <v>0</v>
      </c>
      <c r="F181" s="121">
        <f t="shared" si="15"/>
        <v>0</v>
      </c>
      <c r="G181" s="163" t="s">
        <v>23</v>
      </c>
      <c r="I181" s="138" t="s">
        <v>142</v>
      </c>
    </row>
    <row r="182" spans="1:9" ht="15" customHeight="1">
      <c r="A182" s="172"/>
      <c r="B182" s="33" t="s">
        <v>9</v>
      </c>
      <c r="C182" s="5">
        <v>7.5579000000000003E-5</v>
      </c>
      <c r="D182" s="5" t="s">
        <v>24</v>
      </c>
      <c r="E182" s="121">
        <f t="shared" si="14"/>
        <v>0</v>
      </c>
      <c r="F182" s="121">
        <f t="shared" si="15"/>
        <v>0</v>
      </c>
      <c r="G182" s="163"/>
      <c r="I182" s="138" t="s">
        <v>143</v>
      </c>
    </row>
    <row r="183" spans="1:9">
      <c r="A183" s="172"/>
      <c r="B183" s="4" t="s">
        <v>6</v>
      </c>
      <c r="C183" s="5"/>
      <c r="D183" s="5"/>
      <c r="E183" s="121">
        <f t="shared" si="14"/>
        <v>0</v>
      </c>
      <c r="F183" s="121">
        <f t="shared" si="15"/>
        <v>0</v>
      </c>
      <c r="G183" s="163"/>
      <c r="I183" s="138" t="s">
        <v>144</v>
      </c>
    </row>
    <row r="184" spans="1:9">
      <c r="A184" s="172"/>
      <c r="B184" s="5" t="s">
        <v>7</v>
      </c>
      <c r="C184" s="5">
        <v>2.3753399999999999E-4</v>
      </c>
      <c r="D184" s="5" t="s">
        <v>24</v>
      </c>
      <c r="E184" s="121">
        <f t="shared" si="14"/>
        <v>0</v>
      </c>
      <c r="F184" s="121">
        <f t="shared" si="15"/>
        <v>0</v>
      </c>
      <c r="G184" s="163"/>
      <c r="I184" s="138" t="s">
        <v>145</v>
      </c>
    </row>
    <row r="185" spans="1:9">
      <c r="A185" s="172"/>
      <c r="B185" s="5" t="s">
        <v>15</v>
      </c>
      <c r="C185" s="5">
        <f>0.017*17.7+0.0798978</f>
        <v>0.38079780000000002</v>
      </c>
      <c r="D185" s="5" t="s">
        <v>24</v>
      </c>
      <c r="E185" s="121">
        <f t="shared" si="14"/>
        <v>0</v>
      </c>
      <c r="F185" s="121">
        <f t="shared" si="15"/>
        <v>0</v>
      </c>
      <c r="G185" s="163"/>
      <c r="I185" s="138" t="s">
        <v>146</v>
      </c>
    </row>
    <row r="186" spans="1:9">
      <c r="A186" s="172"/>
      <c r="B186" s="32" t="s">
        <v>19</v>
      </c>
      <c r="C186" s="5"/>
      <c r="D186" s="5"/>
      <c r="E186" s="121">
        <f t="shared" si="14"/>
        <v>0</v>
      </c>
      <c r="F186" s="121">
        <f t="shared" si="15"/>
        <v>0</v>
      </c>
      <c r="G186" s="163"/>
      <c r="I186" s="138" t="s">
        <v>147</v>
      </c>
    </row>
    <row r="187" spans="1:9">
      <c r="A187" s="21"/>
      <c r="B187" s="11"/>
      <c r="C187" s="54"/>
      <c r="D187" s="11"/>
      <c r="E187" s="123"/>
      <c r="F187" s="123"/>
      <c r="G187" s="36"/>
      <c r="I187" s="10"/>
    </row>
    <row r="188" spans="1:9" ht="17">
      <c r="A188" s="181" t="s">
        <v>122</v>
      </c>
      <c r="B188" s="182"/>
      <c r="C188" s="131">
        <f>C189/E226</f>
        <v>0</v>
      </c>
      <c r="E188" s="9" t="s">
        <v>28</v>
      </c>
      <c r="F188" s="11">
        <v>17.7</v>
      </c>
      <c r="G188" t="s">
        <v>154</v>
      </c>
      <c r="I188" s="139" t="s">
        <v>123</v>
      </c>
    </row>
    <row r="189" spans="1:9" ht="15" customHeight="1">
      <c r="A189" s="181" t="s">
        <v>80</v>
      </c>
      <c r="B189" s="182"/>
      <c r="C189" s="131">
        <f>D173*F188</f>
        <v>0</v>
      </c>
      <c r="D189" s="8"/>
      <c r="E189" s="8"/>
      <c r="F189" s="8"/>
      <c r="I189" s="102"/>
    </row>
    <row r="190" spans="1:9">
      <c r="A190" s="181" t="s">
        <v>31</v>
      </c>
      <c r="B190" s="182"/>
      <c r="C190" s="143">
        <f xml:space="preserve"> other_weight_2/(other_weight_2 + hdd_weight_2 + image_weight_2 + mobile_weight_2 + lcd_weight_2 + ds_weight_2 + crt_weight_2 + laptop_weight_2)</f>
        <v>0</v>
      </c>
      <c r="D190" s="8"/>
      <c r="E190" s="8"/>
      <c r="F190" s="8"/>
      <c r="I190" s="102" t="s">
        <v>132</v>
      </c>
    </row>
    <row r="191" spans="1:9">
      <c r="A191" s="176" t="s">
        <v>108</v>
      </c>
      <c r="B191" s="177"/>
      <c r="C191" s="131">
        <f>SUM(E177:E180)</f>
        <v>0</v>
      </c>
      <c r="D191" s="8"/>
      <c r="E191" s="8"/>
      <c r="F191" s="8"/>
      <c r="I191" s="99" t="s">
        <v>113</v>
      </c>
    </row>
    <row r="192" spans="1:9">
      <c r="A192" s="178" t="s">
        <v>109</v>
      </c>
      <c r="B192" s="179"/>
      <c r="C192" s="131">
        <f>SUM(F177:F180)</f>
        <v>0</v>
      </c>
      <c r="D192" s="24"/>
      <c r="E192" s="24"/>
      <c r="F192" s="24"/>
      <c r="I192" s="99"/>
    </row>
    <row r="193" spans="1:9">
      <c r="A193" s="29"/>
      <c r="B193" s="70" t="s">
        <v>74</v>
      </c>
      <c r="C193" s="128">
        <f>E175+E176</f>
        <v>0</v>
      </c>
      <c r="D193" s="17"/>
      <c r="E193" s="17"/>
      <c r="F193" s="17"/>
      <c r="I193" s="99" t="s">
        <v>114</v>
      </c>
    </row>
    <row r="194" spans="1:9">
      <c r="A194" s="29"/>
      <c r="B194" s="70" t="s">
        <v>73</v>
      </c>
      <c r="C194" s="128">
        <f>F175+F176</f>
        <v>0</v>
      </c>
      <c r="D194" s="17"/>
      <c r="E194" s="17"/>
      <c r="F194" s="17"/>
      <c r="I194" s="10"/>
    </row>
    <row r="195" spans="1:9">
      <c r="A195" s="1"/>
      <c r="C195" s="8"/>
      <c r="D195" s="24"/>
      <c r="E195" s="24"/>
      <c r="F195" s="24"/>
      <c r="I195" s="10"/>
    </row>
    <row r="196" spans="1:9">
      <c r="A196" s="29"/>
      <c r="B196" s="23"/>
      <c r="C196" s="17"/>
      <c r="D196" s="17"/>
      <c r="E196" s="17"/>
      <c r="F196" s="17"/>
      <c r="I196" s="10"/>
    </row>
    <row r="197" spans="1:9" ht="21">
      <c r="A197" s="62" t="s">
        <v>125</v>
      </c>
      <c r="B197" s="61"/>
      <c r="C197" s="61"/>
      <c r="D197" s="61"/>
      <c r="E197" s="61"/>
      <c r="F197" s="61"/>
      <c r="I197" s="10"/>
    </row>
    <row r="198" spans="1:9">
      <c r="A198" s="63"/>
      <c r="B198" s="64" t="s">
        <v>126</v>
      </c>
      <c r="C198" s="65" t="s">
        <v>76</v>
      </c>
      <c r="D198" s="65" t="s">
        <v>2</v>
      </c>
      <c r="E198" s="17"/>
      <c r="F198" s="17"/>
      <c r="I198" s="10"/>
    </row>
    <row r="199" spans="1:9">
      <c r="A199" s="29"/>
      <c r="B199" t="s">
        <v>66</v>
      </c>
      <c r="C199" s="104">
        <v>10195.870000000001</v>
      </c>
      <c r="D199" s="105" t="s">
        <v>77</v>
      </c>
      <c r="E199" s="17"/>
      <c r="F199" s="17"/>
      <c r="H199" s="10"/>
      <c r="I199" s="10" t="s">
        <v>137</v>
      </c>
    </row>
    <row r="200" spans="1:9">
      <c r="A200" s="156" t="s">
        <v>127</v>
      </c>
      <c r="B200" s="157"/>
      <c r="C200" s="65" t="s">
        <v>75</v>
      </c>
      <c r="D200" s="65" t="s">
        <v>2</v>
      </c>
      <c r="E200" s="17"/>
      <c r="F200" s="17"/>
      <c r="I200" s="10" t="s">
        <v>81</v>
      </c>
    </row>
    <row r="201" spans="1:9">
      <c r="A201" s="29"/>
      <c r="B201" t="s">
        <v>15</v>
      </c>
      <c r="C201" s="17">
        <v>9.8700000000000003E-3</v>
      </c>
      <c r="D201" s="17" t="s">
        <v>69</v>
      </c>
      <c r="E201" s="17"/>
      <c r="F201" s="17"/>
      <c r="I201" s="10"/>
    </row>
    <row r="202" spans="1:9">
      <c r="A202" s="29"/>
      <c r="B202" t="s">
        <v>7</v>
      </c>
      <c r="C202" s="17">
        <v>6.43391</v>
      </c>
      <c r="D202" s="17" t="s">
        <v>69</v>
      </c>
      <c r="E202" s="17"/>
      <c r="F202" s="17"/>
      <c r="I202" s="10"/>
    </row>
    <row r="203" spans="1:9">
      <c r="A203" s="29"/>
      <c r="B203" t="s">
        <v>6</v>
      </c>
      <c r="C203" s="17">
        <v>37.017290000000003</v>
      </c>
      <c r="D203" s="17" t="s">
        <v>69</v>
      </c>
      <c r="E203" s="17"/>
      <c r="F203" s="17"/>
      <c r="I203" s="10"/>
    </row>
    <row r="204" spans="1:9">
      <c r="A204" s="29"/>
      <c r="B204" t="s">
        <v>9</v>
      </c>
      <c r="C204" s="17">
        <v>21.599599999999999</v>
      </c>
      <c r="D204" s="17" t="s">
        <v>69</v>
      </c>
      <c r="E204" s="17"/>
      <c r="F204" s="17"/>
      <c r="G204" s="11"/>
      <c r="H204"/>
      <c r="I204" s="10" t="s">
        <v>133</v>
      </c>
    </row>
    <row r="205" spans="1:9">
      <c r="A205" s="29"/>
      <c r="B205" t="s">
        <v>8</v>
      </c>
      <c r="C205" s="17">
        <v>3.5200000000000001E-3</v>
      </c>
      <c r="D205" s="17" t="s">
        <v>69</v>
      </c>
      <c r="E205" s="17"/>
      <c r="F205" s="17"/>
      <c r="G205" s="11"/>
      <c r="H205"/>
      <c r="I205" s="10"/>
    </row>
    <row r="206" spans="1:9">
      <c r="A206" s="29"/>
      <c r="B206" t="s">
        <v>19</v>
      </c>
      <c r="C206" s="17">
        <v>8.5999999999999998E-4</v>
      </c>
      <c r="D206" s="17" t="s">
        <v>69</v>
      </c>
      <c r="E206" s="17"/>
      <c r="F206" s="17"/>
      <c r="I206" s="10"/>
    </row>
    <row r="207" spans="1:9" s="22" customFormat="1" ht="15" customHeight="1" thickBot="1">
      <c r="A207" s="29"/>
      <c r="B207"/>
      <c r="C207"/>
      <c r="D207"/>
      <c r="E207" s="17"/>
      <c r="F207" s="17"/>
      <c r="G207" s="17"/>
      <c r="I207" s="10"/>
    </row>
    <row r="208" spans="1:9" ht="21">
      <c r="A208" s="106" t="s">
        <v>35</v>
      </c>
      <c r="B208" s="107"/>
      <c r="C208" s="108"/>
      <c r="D208" s="109"/>
      <c r="E208" s="109"/>
      <c r="F208" s="110"/>
      <c r="G208" s="11"/>
      <c r="H208"/>
      <c r="I208" s="10"/>
    </row>
    <row r="209" spans="1:9">
      <c r="A209" s="111" t="s">
        <v>36</v>
      </c>
      <c r="B209" s="112"/>
      <c r="C209" s="74"/>
      <c r="D209" s="74"/>
      <c r="E209" s="74"/>
      <c r="F209" s="113"/>
      <c r="G209" s="11"/>
      <c r="H209"/>
      <c r="I209" s="10"/>
    </row>
    <row r="210" spans="1:9" ht="15" customHeight="1">
      <c r="A210" s="85"/>
      <c r="B210" s="86"/>
      <c r="C210" s="76" t="s">
        <v>33</v>
      </c>
      <c r="D210" s="75" t="s">
        <v>24</v>
      </c>
      <c r="E210" s="25"/>
      <c r="F210" s="87"/>
      <c r="G210" s="18"/>
      <c r="H210"/>
      <c r="I210" s="10"/>
    </row>
    <row r="211" spans="1:9">
      <c r="A211" s="186" t="s">
        <v>110</v>
      </c>
      <c r="B211" s="187"/>
      <c r="C211" s="126">
        <f>C191+C143+C119+C95+C71+C47+C23+C167</f>
        <v>2.590668714902379</v>
      </c>
      <c r="D211" s="126">
        <f>C192+C144+C120+C96+C72+C48+C24+C168</f>
        <v>1.1751066037300002</v>
      </c>
      <c r="E211" s="25"/>
      <c r="F211" s="87"/>
      <c r="G211" s="38"/>
      <c r="H211"/>
      <c r="I211" s="10"/>
    </row>
    <row r="212" spans="1:9">
      <c r="A212" s="186" t="s">
        <v>34</v>
      </c>
      <c r="B212" s="188"/>
      <c r="C212" s="145">
        <f>C193+C145+C121+C97+C73+C49+C25</f>
        <v>177.25956926509562</v>
      </c>
      <c r="D212" s="125">
        <f>C194+C146+C122+C98+C74+C50+C26+C170</f>
        <v>919.74336229448022</v>
      </c>
      <c r="E212" s="25"/>
      <c r="F212" s="87"/>
      <c r="G212" s="17"/>
      <c r="H212"/>
      <c r="I212" s="10"/>
    </row>
    <row r="213" spans="1:9">
      <c r="A213" s="192" t="s">
        <v>37</v>
      </c>
      <c r="B213" s="193"/>
      <c r="C213" s="133"/>
      <c r="D213" s="133"/>
      <c r="E213" s="74"/>
      <c r="F213" s="113"/>
      <c r="G213" s="17"/>
      <c r="H213"/>
      <c r="I213" s="10"/>
    </row>
    <row r="214" spans="1:9">
      <c r="A214" s="186" t="s">
        <v>78</v>
      </c>
      <c r="B214" s="194"/>
      <c r="C214" s="124">
        <f>SUM(C215:C220)</f>
        <v>789.30293602222059</v>
      </c>
      <c r="D214" s="124">
        <f>SUM(D215:D220)</f>
        <v>47.163559956190994</v>
      </c>
      <c r="E214" s="25"/>
      <c r="F214" s="87"/>
      <c r="G214" s="17"/>
      <c r="H214"/>
      <c r="I214" s="10"/>
    </row>
    <row r="215" spans="1:9">
      <c r="A215" s="88"/>
      <c r="B215" s="71" t="s">
        <v>8</v>
      </c>
      <c r="C215" s="125">
        <f>E13+E37+E61+E85+E109+E133+E181+E157</f>
        <v>73.97915527610715</v>
      </c>
      <c r="D215" s="125">
        <f>F13+F37+F61+F85+F109+F133+F181+F157</f>
        <v>33.556352999999994</v>
      </c>
      <c r="E215" s="25"/>
      <c r="F215" s="87"/>
      <c r="G215" s="17"/>
      <c r="H215"/>
      <c r="I215" s="10"/>
    </row>
    <row r="216" spans="1:9">
      <c r="A216" s="89"/>
      <c r="B216" s="58" t="s">
        <v>9</v>
      </c>
      <c r="C216" s="132">
        <f>E14+E38+E62+E86+E110+E134+E182</f>
        <v>1.6830177780913242E-3</v>
      </c>
      <c r="D216" s="125">
        <f>F14+F38+F62+F86+F110+F134+F182+F158</f>
        <v>0.34095740339999991</v>
      </c>
      <c r="E216" s="73"/>
      <c r="F216" s="90"/>
      <c r="G216" s="17"/>
      <c r="H216"/>
      <c r="I216" s="10"/>
    </row>
    <row r="217" spans="1:9" ht="21">
      <c r="A217" s="91"/>
      <c r="B217" s="58" t="s">
        <v>6</v>
      </c>
      <c r="C217" s="132">
        <f>E15+E39+E63+E87+E111+E135+E183+E159</f>
        <v>2.5832640566853036E-4</v>
      </c>
      <c r="D217" s="125">
        <f>F15+F39+F63+F87+F111+F135+F183</f>
        <v>1.1717479100000001E-4</v>
      </c>
      <c r="E217" s="114"/>
      <c r="F217" s="92"/>
      <c r="G217" s="17"/>
      <c r="H217"/>
      <c r="I217" s="10"/>
    </row>
    <row r="218" spans="1:9">
      <c r="A218" s="93"/>
      <c r="B218" s="58" t="s">
        <v>7</v>
      </c>
      <c r="C218" s="132">
        <f>E16+E40+E64+E88+E112+E136+E184</f>
        <v>1.1128459055715269E-3</v>
      </c>
      <c r="D218" s="125">
        <f>F16+F40+F64+F88+F112+F136+F184+F160</f>
        <v>1.1844578000000001E-2</v>
      </c>
      <c r="E218" s="25"/>
      <c r="F218" s="87"/>
      <c r="G218" s="17"/>
      <c r="H218"/>
      <c r="I218" s="10"/>
    </row>
    <row r="219" spans="1:9">
      <c r="A219" s="115"/>
      <c r="B219" s="58" t="s">
        <v>15</v>
      </c>
      <c r="C219" s="132">
        <f>E17+E41+E65+E89+E113+E137+E185+E161</f>
        <v>689.18463949981492</v>
      </c>
      <c r="D219" s="125">
        <f>F17+F41+F65+F89+F113+F137+F185+F160</f>
        <v>1.3991678000000001</v>
      </c>
      <c r="E219" s="25"/>
      <c r="F219" s="87"/>
      <c r="G219" s="17"/>
      <c r="H219"/>
      <c r="I219" s="10"/>
    </row>
    <row r="220" spans="1:9" ht="17" thickBot="1">
      <c r="A220" s="116"/>
      <c r="B220" s="94" t="s">
        <v>19</v>
      </c>
      <c r="C220" s="134">
        <f>E18+E42+E66+E90+E114+E138+E186+E162</f>
        <v>26.136087056209103</v>
      </c>
      <c r="D220" s="135">
        <f>F18+F42+F66+F90+F114+F138+F186+F162</f>
        <v>11.855119999999999</v>
      </c>
      <c r="E220" s="117"/>
      <c r="F220" s="95"/>
      <c r="G220" s="17"/>
      <c r="H220"/>
      <c r="I220" s="10"/>
    </row>
    <row r="221" spans="1:9">
      <c r="A221" s="19"/>
      <c r="B221" s="56"/>
      <c r="C221" s="57"/>
      <c r="D221" s="50"/>
      <c r="E221" s="50"/>
      <c r="F221" s="50"/>
      <c r="G221" s="17"/>
      <c r="H221"/>
      <c r="I221" s="10"/>
    </row>
    <row r="222" spans="1:9">
      <c r="I222" s="10"/>
    </row>
    <row r="223" spans="1:9">
      <c r="I223" s="10"/>
    </row>
    <row r="224" spans="1:9">
      <c r="B224" s="183" t="s">
        <v>10</v>
      </c>
      <c r="C224" s="199"/>
      <c r="D224" s="199"/>
      <c r="E224" s="199"/>
      <c r="F224" s="199"/>
      <c r="H224"/>
      <c r="I224" s="10"/>
    </row>
    <row r="225" spans="2:9">
      <c r="B225" s="3" t="s">
        <v>1</v>
      </c>
      <c r="C225" s="3" t="s">
        <v>2</v>
      </c>
      <c r="D225" s="3"/>
      <c r="E225" s="3" t="s">
        <v>1</v>
      </c>
      <c r="F225" s="3" t="s">
        <v>2</v>
      </c>
      <c r="H225"/>
      <c r="I225" s="10"/>
    </row>
    <row r="226" spans="2:9">
      <c r="B226" s="5">
        <v>1</v>
      </c>
      <c r="C226" s="5" t="s">
        <v>12</v>
      </c>
      <c r="D226" s="5" t="s">
        <v>11</v>
      </c>
      <c r="E226" s="5">
        <v>0.453592</v>
      </c>
      <c r="F226" s="5" t="s">
        <v>29</v>
      </c>
      <c r="H226"/>
      <c r="I226" s="10"/>
    </row>
    <row r="227" spans="2:9">
      <c r="B227" s="66">
        <v>2000</v>
      </c>
      <c r="C227" s="67" t="s">
        <v>13</v>
      </c>
      <c r="D227" s="67" t="s">
        <v>11</v>
      </c>
      <c r="E227" s="67">
        <v>1</v>
      </c>
      <c r="F227" s="67" t="s">
        <v>40</v>
      </c>
      <c r="H227"/>
      <c r="I227" s="10"/>
    </row>
    <row r="228" spans="2:9">
      <c r="B228" s="68">
        <v>2204.6226200000001</v>
      </c>
      <c r="C228" s="59" t="s">
        <v>13</v>
      </c>
      <c r="D228" s="59" t="s">
        <v>11</v>
      </c>
      <c r="E228" s="59">
        <v>1</v>
      </c>
      <c r="F228" s="59" t="s">
        <v>41</v>
      </c>
      <c r="H228"/>
      <c r="I228" s="10"/>
    </row>
    <row r="229" spans="2:9">
      <c r="B229" s="68">
        <v>1</v>
      </c>
      <c r="C229" s="59" t="s">
        <v>39</v>
      </c>
      <c r="D229" s="59" t="s">
        <v>11</v>
      </c>
      <c r="E229" s="59">
        <v>1.60934</v>
      </c>
      <c r="F229" s="59" t="s">
        <v>42</v>
      </c>
      <c r="I229" s="10"/>
    </row>
    <row r="230" spans="2:9">
      <c r="B230" s="196" t="s">
        <v>38</v>
      </c>
      <c r="C230" s="197"/>
      <c r="D230" s="197"/>
      <c r="E230" s="197"/>
      <c r="F230" s="198"/>
      <c r="I230" s="10"/>
    </row>
    <row r="231" spans="2:9">
      <c r="B231" s="5">
        <v>4.8000000000000001E-2</v>
      </c>
      <c r="C231" s="66" t="s">
        <v>59</v>
      </c>
      <c r="D231" s="32" t="s">
        <v>11</v>
      </c>
      <c r="E231" s="5">
        <v>2.99364E-5</v>
      </c>
      <c r="F231" s="5" t="s">
        <v>71</v>
      </c>
      <c r="I231" s="10" t="s">
        <v>89</v>
      </c>
    </row>
    <row r="232" spans="2:9">
      <c r="B232" s="17"/>
      <c r="C232" s="17"/>
      <c r="D232" s="17"/>
      <c r="E232" s="17"/>
      <c r="F232" s="17"/>
      <c r="I232" s="11"/>
    </row>
    <row r="233" spans="2:9">
      <c r="B233" s="17"/>
      <c r="C233" s="17"/>
      <c r="D233" s="17"/>
      <c r="E233" s="17"/>
      <c r="F233" s="17"/>
    </row>
    <row r="234" spans="2:9">
      <c r="B234" s="17"/>
      <c r="C234" s="17"/>
      <c r="D234" s="17"/>
      <c r="E234" s="17"/>
      <c r="F234" s="17"/>
    </row>
    <row r="235" spans="2:9">
      <c r="B235" s="17"/>
      <c r="C235" s="17"/>
      <c r="D235" s="17"/>
      <c r="E235" s="17"/>
      <c r="F235" s="17"/>
    </row>
    <row r="236" spans="2:9">
      <c r="B236" s="38"/>
      <c r="C236" s="38"/>
      <c r="D236" s="38"/>
      <c r="E236" s="38"/>
      <c r="F236" s="38"/>
    </row>
    <row r="237" spans="2:9">
      <c r="B237" s="17"/>
      <c r="C237" s="17"/>
      <c r="D237" s="17"/>
      <c r="E237" s="17"/>
      <c r="F237" s="17"/>
    </row>
  </sheetData>
  <mergeCells count="94">
    <mergeCell ref="G175:G180"/>
    <mergeCell ref="A177:A180"/>
    <mergeCell ref="A181:A186"/>
    <mergeCell ref="G181:G186"/>
    <mergeCell ref="G128:G132"/>
    <mergeCell ref="A129:A132"/>
    <mergeCell ref="A133:A138"/>
    <mergeCell ref="G133:G138"/>
    <mergeCell ref="A140:B140"/>
    <mergeCell ref="A141:B141"/>
    <mergeCell ref="A142:B142"/>
    <mergeCell ref="A143:B143"/>
    <mergeCell ref="A127:A128"/>
    <mergeCell ref="G157:G162"/>
    <mergeCell ref="G151:G156"/>
    <mergeCell ref="G56:G60"/>
    <mergeCell ref="A57:A60"/>
    <mergeCell ref="A61:A66"/>
    <mergeCell ref="G61:G66"/>
    <mergeCell ref="A68:B68"/>
    <mergeCell ref="B230:F230"/>
    <mergeCell ref="B224:F224"/>
    <mergeCell ref="A211:B211"/>
    <mergeCell ref="A212:B212"/>
    <mergeCell ref="A213:B213"/>
    <mergeCell ref="A214:B214"/>
    <mergeCell ref="A192:B192"/>
    <mergeCell ref="A190:B190"/>
    <mergeCell ref="A188:B188"/>
    <mergeCell ref="A144:B144"/>
    <mergeCell ref="A189:B189"/>
    <mergeCell ref="A172:E172"/>
    <mergeCell ref="A175:A176"/>
    <mergeCell ref="A118:B118"/>
    <mergeCell ref="A119:B119"/>
    <mergeCell ref="A120:B120"/>
    <mergeCell ref="A124:E124"/>
    <mergeCell ref="A191:B191"/>
    <mergeCell ref="A148:E148"/>
    <mergeCell ref="A151:A152"/>
    <mergeCell ref="A153:A156"/>
    <mergeCell ref="A157:A162"/>
    <mergeCell ref="A164:B164"/>
    <mergeCell ref="A165:B165"/>
    <mergeCell ref="A166:B166"/>
    <mergeCell ref="A167:B167"/>
    <mergeCell ref="A168:B168"/>
    <mergeCell ref="A85:A90"/>
    <mergeCell ref="G85:G90"/>
    <mergeCell ref="A92:B92"/>
    <mergeCell ref="A79:A80"/>
    <mergeCell ref="A117:B117"/>
    <mergeCell ref="A94:B94"/>
    <mergeCell ref="A95:B95"/>
    <mergeCell ref="A96:B96"/>
    <mergeCell ref="A100:E100"/>
    <mergeCell ref="A103:A104"/>
    <mergeCell ref="G104:G108"/>
    <mergeCell ref="A105:A108"/>
    <mergeCell ref="A109:A114"/>
    <mergeCell ref="G109:G114"/>
    <mergeCell ref="A116:B116"/>
    <mergeCell ref="A70:B70"/>
    <mergeCell ref="A71:B71"/>
    <mergeCell ref="A72:B72"/>
    <mergeCell ref="A76:E76"/>
    <mergeCell ref="G79:G84"/>
    <mergeCell ref="A81:A84"/>
    <mergeCell ref="A46:B46"/>
    <mergeCell ref="A47:B47"/>
    <mergeCell ref="A48:B48"/>
    <mergeCell ref="A52:E52"/>
    <mergeCell ref="A55:A56"/>
    <mergeCell ref="A7:A8"/>
    <mergeCell ref="G7:G12"/>
    <mergeCell ref="A9:A12"/>
    <mergeCell ref="A13:A18"/>
    <mergeCell ref="G13:G18"/>
    <mergeCell ref="A200:B200"/>
    <mergeCell ref="G37:G42"/>
    <mergeCell ref="A20:B20"/>
    <mergeCell ref="A21:B21"/>
    <mergeCell ref="A22:B22"/>
    <mergeCell ref="A23:B23"/>
    <mergeCell ref="A24:B24"/>
    <mergeCell ref="A28:E28"/>
    <mergeCell ref="A31:A32"/>
    <mergeCell ref="G31:G36"/>
    <mergeCell ref="A33:A36"/>
    <mergeCell ref="A93:B93"/>
    <mergeCell ref="A69:B69"/>
    <mergeCell ref="A37:A42"/>
    <mergeCell ref="A44:B44"/>
    <mergeCell ref="A45:B45"/>
  </mergeCells>
  <phoneticPr fontId="15" type="noConversion"/>
  <pageMargins left="0.75" right="0.75" top="1" bottom="1" header="0.5" footer="0.5"/>
  <pageSetup orientation="portrait" horizontalDpi="4294967292" verticalDpi="429496729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0"/>
  <sheetViews>
    <sheetView workbookViewId="0">
      <selection activeCell="A30" sqref="A30"/>
    </sheetView>
  </sheetViews>
  <sheetFormatPr baseColWidth="10" defaultColWidth="11.1640625" defaultRowHeight="16"/>
  <cols>
    <col min="1" max="1" width="177.5" bestFit="1" customWidth="1"/>
    <col min="2" max="2" width="40" customWidth="1"/>
  </cols>
  <sheetData>
    <row r="1" spans="1:3">
      <c r="A1" s="118" t="s">
        <v>43</v>
      </c>
      <c r="B1" s="16"/>
      <c r="C1" s="1"/>
    </row>
    <row r="2" spans="1:3">
      <c r="A2" s="118" t="s">
        <v>44</v>
      </c>
      <c r="B2" s="12"/>
    </row>
    <row r="3" spans="1:3">
      <c r="A3" s="118" t="s">
        <v>45</v>
      </c>
      <c r="B3" s="12"/>
    </row>
    <row r="4" spans="1:3">
      <c r="A4" s="118" t="s">
        <v>46</v>
      </c>
      <c r="B4" s="31"/>
    </row>
    <row r="5" spans="1:3">
      <c r="A5" s="118" t="s">
        <v>47</v>
      </c>
      <c r="B5" s="12"/>
    </row>
    <row r="6" spans="1:3">
      <c r="A6" s="118" t="s">
        <v>48</v>
      </c>
      <c r="B6" s="12"/>
    </row>
    <row r="7" spans="1:3">
      <c r="A7" s="119" t="s">
        <v>49</v>
      </c>
      <c r="B7" s="12"/>
    </row>
    <row r="8" spans="1:3">
      <c r="A8" s="118" t="s">
        <v>50</v>
      </c>
    </row>
    <row r="9" spans="1:3">
      <c r="A9" s="118" t="s">
        <v>51</v>
      </c>
    </row>
    <row r="10" spans="1:3">
      <c r="A10" s="118" t="s">
        <v>94</v>
      </c>
    </row>
    <row r="11" spans="1:3">
      <c r="A11" s="118" t="s">
        <v>52</v>
      </c>
    </row>
    <row r="12" spans="1:3">
      <c r="A12" s="118" t="s">
        <v>53</v>
      </c>
    </row>
    <row r="13" spans="1:3">
      <c r="A13" s="118" t="s">
        <v>54</v>
      </c>
    </row>
    <row r="14" spans="1:3">
      <c r="A14" s="118" t="s">
        <v>55</v>
      </c>
    </row>
    <row r="15" spans="1:3">
      <c r="A15" s="118" t="s">
        <v>91</v>
      </c>
    </row>
    <row r="16" spans="1:3">
      <c r="A16" s="118" t="s">
        <v>97</v>
      </c>
    </row>
    <row r="17" spans="1:1">
      <c r="A17" s="118" t="s">
        <v>98</v>
      </c>
    </row>
    <row r="18" spans="1:1">
      <c r="A18" s="118" t="s">
        <v>99</v>
      </c>
    </row>
    <row r="19" spans="1:1">
      <c r="A19" s="118" t="s">
        <v>100</v>
      </c>
    </row>
    <row r="20" spans="1:1">
      <c r="A20" s="118" t="s">
        <v>101</v>
      </c>
    </row>
    <row r="21" spans="1:1">
      <c r="A21" s="120" t="s">
        <v>103</v>
      </c>
    </row>
    <row r="22" spans="1:1">
      <c r="A22" s="120" t="s">
        <v>102</v>
      </c>
    </row>
    <row r="23" spans="1:1">
      <c r="A23" s="120" t="s">
        <v>104</v>
      </c>
    </row>
    <row r="24" spans="1:1">
      <c r="A24" s="120" t="s">
        <v>105</v>
      </c>
    </row>
    <row r="25" spans="1:1">
      <c r="A25" s="119" t="s">
        <v>106</v>
      </c>
    </row>
    <row r="26" spans="1:1">
      <c r="A26" s="118" t="s">
        <v>107</v>
      </c>
    </row>
    <row r="27" spans="1:1">
      <c r="A27" s="120" t="s">
        <v>134</v>
      </c>
    </row>
    <row r="28" spans="1:1">
      <c r="A28" t="s">
        <v>135</v>
      </c>
    </row>
    <row r="29" spans="1:1">
      <c r="A29" s="32" t="s">
        <v>148</v>
      </c>
    </row>
    <row r="30" spans="1:1" ht="17">
      <c r="A30" s="31" t="s">
        <v>156</v>
      </c>
    </row>
  </sheetData>
  <pageMargins left="0.75" right="0.75" top="1" bottom="1" header="0.5" footer="0.5"/>
  <pageSetup orientation="portrait" horizontalDpi="4294967292" verticalDpi="429496729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Input by weight</vt:lpstr>
      <vt:lpstr>Input by unit count</vt:lpstr>
      <vt:lpstr>Data Sources</vt:lpstr>
      <vt:lpstr>crt_count</vt:lpstr>
      <vt:lpstr>crt_kg</vt:lpstr>
      <vt:lpstr>crt_weight</vt:lpstr>
      <vt:lpstr>crt_weight_2</vt:lpstr>
      <vt:lpstr>desktop_count</vt:lpstr>
      <vt:lpstr>desktop_kg</vt:lpstr>
      <vt:lpstr>ds_weight</vt:lpstr>
      <vt:lpstr>ds_weight_2</vt:lpstr>
      <vt:lpstr>flat_count</vt:lpstr>
      <vt:lpstr>flat_kg</vt:lpstr>
      <vt:lpstr>hdd_weight</vt:lpstr>
      <vt:lpstr>hdd_weight_2</vt:lpstr>
      <vt:lpstr>image_weight</vt:lpstr>
      <vt:lpstr>image_weight_2</vt:lpstr>
      <vt:lpstr>laptop_count</vt:lpstr>
      <vt:lpstr>laptop_kg</vt:lpstr>
      <vt:lpstr>laptop_weight</vt:lpstr>
      <vt:lpstr>laptop_weight_2</vt:lpstr>
      <vt:lpstr>lcd_weight</vt:lpstr>
      <vt:lpstr>lcd_weight_2</vt:lpstr>
      <vt:lpstr>mobile_count</vt:lpstr>
      <vt:lpstr>mobile_kg</vt:lpstr>
      <vt:lpstr>mobile_weight</vt:lpstr>
      <vt:lpstr>mobile_weight_2</vt:lpstr>
      <vt:lpstr>other_count</vt:lpstr>
      <vt:lpstr>other_kg</vt:lpstr>
      <vt:lpstr>other_weight</vt:lpstr>
      <vt:lpstr>other_weight_2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Groark</dc:creator>
  <cp:lastModifiedBy>Microsoft Office User</cp:lastModifiedBy>
  <dcterms:created xsi:type="dcterms:W3CDTF">2013-01-08T18:21:21Z</dcterms:created>
  <dcterms:modified xsi:type="dcterms:W3CDTF">2020-01-31T22:53:55Z</dcterms:modified>
</cp:coreProperties>
</file>